
<file path=[Content_Types].xml><?xml version="1.0" encoding="utf-8"?>
<Types xmlns="http://schemas.openxmlformats.org/package/2006/content-types">
  <Override PartName="/xl/revisions/revisionLog315.xml" ContentType="application/vnd.openxmlformats-officedocument.spreadsheetml.revisionLog+xml"/>
  <Override PartName="/xl/revisions/revisionLog362.xml" ContentType="application/vnd.openxmlformats-officedocument.spreadsheetml.revisionLog+xml"/>
  <Override PartName="/xl/styles.xml" ContentType="application/vnd.openxmlformats-officedocument.spreadsheetml.styles+xml"/>
  <Override PartName="/xl/revisions/revisionLog154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299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340.xml" ContentType="application/vnd.openxmlformats-officedocument.spreadsheetml.revisionLog+xml"/>
  <Override PartName="/xl/revisions/revisionLog277.xml" ContentType="application/vnd.openxmlformats-officedocument.spreadsheetml.revisionLog+xml"/>
  <Default Extension="xml" ContentType="application/xml"/>
  <Override PartName="/xl/revisions/revisionLog121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19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266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208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244.xml" ContentType="application/vnd.openxmlformats-officedocument.spreadsheetml.revisionLog+xml"/>
  <Override PartName="/xl/revisions/revisionLog255.xml" ContentType="application/vnd.openxmlformats-officedocument.spreadsheetml.revisionLog+xml"/>
  <Override PartName="/xl/revisions/revisionLog291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280.xml" ContentType="application/vnd.openxmlformats-officedocument.spreadsheetml.revisionLog+xml"/>
  <Override PartName="/xl/revisions/revisionLog378.xml" ContentType="application/vnd.openxmlformats-officedocument.spreadsheetml.revisionLog+xml"/>
  <Override PartName="/xl/revisions/revisionLog233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356.xml" ContentType="application/vnd.openxmlformats-officedocument.spreadsheetml.revisionLog+xml"/>
  <Override PartName="/xl/revisions/revisionLog367.xml" ContentType="application/vnd.openxmlformats-officedocument.spreadsheetml.revisionLog+xml"/>
  <Override PartName="/xl/revisions/revisionLog309.xml" ContentType="application/vnd.openxmlformats-officedocument.spreadsheetml.revisionLog+xml"/>
  <Override PartName="/xl/revisions/revisionLog22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211.xml" ContentType="application/vnd.openxmlformats-officedocument.spreadsheetml.revisionLog+xml"/>
  <Override PartName="/xl/revisions/revisionLog148.xml" ContentType="application/vnd.openxmlformats-officedocument.spreadsheetml.revisionLog+xml"/>
  <Override PartName="/xl/revisions/revisionLog159.xml" ContentType="application/vnd.openxmlformats-officedocument.spreadsheetml.revisionLog+xml"/>
  <Override PartName="/xl/revisions/revisionLog195.xml" ContentType="application/vnd.openxmlformats-officedocument.spreadsheetml.revisionLog+xml"/>
  <Override PartName="/xl/revisions/revisionLog345.xml" ContentType="application/vnd.openxmlformats-officedocument.spreadsheetml.revisionLog+xml"/>
  <Override PartName="/xl/revisions/revisionLog184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200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334.xml" ContentType="application/vnd.openxmlformats-officedocument.spreadsheetml.revisionLog+xml"/>
  <Override PartName="/xl/revisions/revisionLog17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370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312.xml" ContentType="application/vnd.openxmlformats-officedocument.spreadsheetml.revisionLog+xml"/>
  <Override PartName="/xl/revisions/revisionLog323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162.xml" ContentType="application/vnd.openxmlformats-officedocument.spreadsheetml.revisionLog+xml"/>
  <Override PartName="/xl/revisions/revisionLog249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296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301.xml" ContentType="application/vnd.openxmlformats-officedocument.spreadsheetml.revisionLog+xml"/>
  <Override PartName="/xl/revisions/revisionLog115.xml" ContentType="application/vnd.openxmlformats-officedocument.spreadsheetml.revisionLog+xml"/>
  <Override PartName="/docProps/app.xml" ContentType="application/vnd.openxmlformats-officedocument.extended-properties+xml"/>
  <Override PartName="/xl/revisions/revisionLog238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285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140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24.xml" ContentType="application/vnd.openxmlformats-officedocument.spreadsheetml.revisionLog+xml"/>
  <Override PartName="/xl/revisions/revisionLog263.xml" ContentType="application/vnd.openxmlformats-officedocument.spreadsheetml.revisionLog+xml"/>
  <Override PartName="/xl/revisions/revisionLog274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216.xml" ContentType="application/vnd.openxmlformats-officedocument.spreadsheetml.revisionLog+xml"/>
  <Override PartName="/xl/revisions/revisionLog227.xml" ContentType="application/vnd.openxmlformats-officedocument.spreadsheetml.revisionLog+xml"/>
  <Override PartName="/xl/calcChain.xml" ContentType="application/vnd.openxmlformats-officedocument.spreadsheetml.calcChain+xml"/>
  <Override PartName="/xl/revisions/revisionLog252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205.xml" ContentType="application/vnd.openxmlformats-officedocument.spreadsheetml.revisionLog+xml"/>
  <Override PartName="/xl/revisions/revisionLog328.xml" ContentType="application/vnd.openxmlformats-officedocument.spreadsheetml.revisionLog+xml"/>
  <Override PartName="/xl/revisions/revisionLog241.xml" ContentType="application/vnd.openxmlformats-officedocument.spreadsheetml.revisionLog+xml"/>
  <Override PartName="/xl/revisions/revisionLog339.xml" ContentType="application/vnd.openxmlformats-officedocument.spreadsheetml.revisionLog+xml"/>
  <Override PartName="/xl/revisions/revisionLog189.xml" ContentType="application/vnd.openxmlformats-officedocument.spreadsheetml.revisionLog+xml"/>
  <Override PartName="/xl/revisions/revisionLog375.xml" ContentType="application/vnd.openxmlformats-officedocument.spreadsheetml.revisionLog+xml"/>
  <Override PartName="/xl/revisions/revisionLog31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30.xml" ContentType="application/vnd.openxmlformats-officedocument.spreadsheetml.revisionLog+xml"/>
  <Override PartName="/xl/revisions/revisionLog167.xml" ContentType="application/vnd.openxmlformats-officedocument.spreadsheetml.revisionLog+xml"/>
  <Override PartName="/xl/revisions/revisionLog178.xml" ContentType="application/vnd.openxmlformats-officedocument.spreadsheetml.revisionLog+xml"/>
  <Override PartName="/xl/revisions/revisionLog364.xml" ContentType="application/vnd.openxmlformats-officedocument.spreadsheetml.revisionLog+xml"/>
  <Override PartName="/xl/revisions/revisionLog306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156.xml" ContentType="application/vnd.openxmlformats-officedocument.spreadsheetml.revisionLog+xml"/>
  <Override PartName="/xl/revisions/revisionLog353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userNames.xml" ContentType="application/vnd.openxmlformats-officedocument.spreadsheetml.userNames+xml"/>
  <Override PartName="/xl/revisions/revisionLog87.xml" ContentType="application/vnd.openxmlformats-officedocument.spreadsheetml.revisionLog+xml"/>
  <Override PartName="/xl/revisions/revisionLog331.xml" ContentType="application/vnd.openxmlformats-officedocument.spreadsheetml.revisionLog+xml"/>
  <Override PartName="/xl/revisions/revisionLog192.xml" ContentType="application/vnd.openxmlformats-officedocument.spreadsheetml.revisionLog+xml"/>
  <Override PartName="/xl/revisions/revisionLog342.xml" ContentType="application/vnd.openxmlformats-officedocument.spreadsheetml.revisionLog+xml"/>
  <Override PartName="/xl/revisions/revisionLog145.xml" ContentType="application/vnd.openxmlformats-officedocument.spreadsheetml.revisionLog+xml"/>
  <Override PartName="/xl/revisions/revisionLog279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20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70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268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257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282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235.xml" ContentType="application/vnd.openxmlformats-officedocument.spreadsheetml.revisionLog+xml"/>
  <Override PartName="/xl/revisions/revisionLog246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293.xml" ContentType="application/vnd.openxmlformats-officedocument.spreadsheetml.revisionLog+xml"/>
  <Override PartName="/xl/revisions/revisionLog271.xml" ContentType="application/vnd.openxmlformats-officedocument.spreadsheetml.revisionLog+xml"/>
  <Override PartName="/xl/revisions/revisionLog358.xml" ContentType="application/vnd.openxmlformats-officedocument.spreadsheetml.revisionLog+xml"/>
  <Override PartName="/xl/revisions/revisionLog369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24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97.xml" ContentType="application/vnd.openxmlformats-officedocument.spreadsheetml.revisionLog+xml"/>
  <Override PartName="/xl/revisions/revisionLog260.xml" ContentType="application/vnd.openxmlformats-officedocument.spreadsheetml.revisionLog+xml"/>
  <Override PartName="/xl/revisions/revisionLog347.xml" ContentType="application/vnd.openxmlformats-officedocument.spreadsheetml.revisionLog+xml"/>
  <Override PartName="/xl/revisions/revisionLog213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336.xml" ContentType="application/vnd.openxmlformats-officedocument.spreadsheetml.revisionLog+xml"/>
  <Override PartName="/xl/revisions/revisionLog186.xml" ContentType="application/vnd.openxmlformats-officedocument.spreadsheetml.revisionLog+xml"/>
  <Override PartName="/xl/revisions/revisionLog202.xml" ContentType="application/vnd.openxmlformats-officedocument.spreadsheetml.revisionLog+xml"/>
  <Override PartName="/xl/revisions/revisionLog139.xml" ContentType="application/vnd.openxmlformats-officedocument.spreadsheetml.revisionLog+xml"/>
  <Override PartName="/xl/revisions/revisionLog175.xml" ContentType="application/vnd.openxmlformats-officedocument.spreadsheetml.revisionLog+xml"/>
  <Override PartName="/xl/revisions/revisionLog372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325.xml" ContentType="application/vnd.openxmlformats-officedocument.spreadsheetml.revisionLog+xml"/>
  <Override PartName="/xl/revisions/revisionLog153.xml" ContentType="application/vnd.openxmlformats-officedocument.spreadsheetml.revisionLog+xml"/>
  <Override PartName="/xl/revisions/revisionLog164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298.xml" ContentType="application/vnd.openxmlformats-officedocument.spreadsheetml.revisionLog+xml"/>
  <Override PartName="/xl/revisions/revisionLog350.xml" ContentType="application/vnd.openxmlformats-officedocument.spreadsheetml.revisionLog+xml"/>
  <Override PartName="/xl/revisions/revisionLog361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303.xml" ContentType="application/vnd.openxmlformats-officedocument.spreadsheetml.revisionLog+xml"/>
  <Override PartName="/xl/revisions/revisionLog314.xml" ContentType="application/vnd.openxmlformats-officedocument.spreadsheetml.revisionLog+xml"/>
  <Override PartName="/xl/revisions/revisionLog117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287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218.xml" ContentType="application/vnd.openxmlformats-officedocument.spreadsheetml.revisionLog+xml"/>
  <Override PartName="/xl/revisions/revisionLog229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65.xml" ContentType="application/vnd.openxmlformats-officedocument.spreadsheetml.revisionLog+xml"/>
  <Override PartName="/xl/revisions/revisionLog276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07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254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290.xml" ContentType="application/vnd.openxmlformats-officedocument.spreadsheetml.revisionLog+xml"/>
  <Override PartName="/xl/revisions/revisionLog377.xml" ContentType="application/vnd.openxmlformats-officedocument.spreadsheetml.revisionLog+xml"/>
  <Override PartName="/xl/revisions/revisionLog243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221.xml" ContentType="application/vnd.openxmlformats-officedocument.spreadsheetml.revisionLog+xml"/>
  <Override PartName="/xl/revisions/revisionLog319.xml" ContentType="application/vnd.openxmlformats-officedocument.spreadsheetml.revisionLog+xml"/>
  <Override PartName="/xl/revisions/revisionLog23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69.xml" ContentType="application/vnd.openxmlformats-officedocument.spreadsheetml.revisionLog+xml"/>
  <Override PartName="/xl/revisions/revisionLog366.xml" ContentType="application/vnd.openxmlformats-officedocument.spreadsheetml.revisionLog+xml"/>
  <Override PartName="/xl/revisions/revisionLog308.xml" ContentType="application/vnd.openxmlformats-officedocument.spreadsheetml.revisionLog+xml"/>
  <Override PartName="/xl/revisions/revisionLog210.xml" ContentType="application/vnd.openxmlformats-officedocument.spreadsheetml.revisionLog+xml"/>
  <Override PartName="/xl/revisions/revisionLog158.xml" ContentType="application/vnd.openxmlformats-officedocument.spreadsheetml.revisionLog+xml"/>
  <Override PartName="/xl/revisions/revisionLog355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12111.xml" ContentType="application/vnd.openxmlformats-officedocument.spreadsheetml.revisionLog+xml"/>
  <Override PartName="/xl/revisions/revisionLog147.xml" ContentType="application/vnd.openxmlformats-officedocument.spreadsheetml.revisionLog+xml"/>
  <Override PartName="/xl/revisions/revisionLog333.xml" ContentType="application/vnd.openxmlformats-officedocument.spreadsheetml.revisionLog+xml"/>
  <Override PartName="/xl/revisions/revisionLog194.xml" ContentType="application/vnd.openxmlformats-officedocument.spreadsheetml.revisionLog+xml"/>
  <Override PartName="/xl/revisions/revisionLog344.xml" ContentType="application/vnd.openxmlformats-officedocument.spreadsheetml.revisionLog+xml"/>
  <Override PartName="/xl/revisions/revisionLog183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322.xml" ContentType="application/vnd.openxmlformats-officedocument.spreadsheetml.revisionLog+xml"/>
  <Override PartName="/xl/revisions/revisionLog172.xml" ContentType="application/vnd.openxmlformats-officedocument.spreadsheetml.revisionLog+xml"/>
  <Override PartName="/xl/revisions/revisionLog259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311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295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284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300.xml" ContentType="application/vnd.openxmlformats-officedocument.spreadsheetml.revisionLog+xml"/>
  <Override PartName="/xl/revisions/revisionLog150.xml" ContentType="application/vnd.openxmlformats-officedocument.spreadsheetml.revisionLog+xml"/>
  <Override PartName="/xl/revisions/revisionLog237.xml" ContentType="application/vnd.openxmlformats-officedocument.spreadsheetml.revisionLog+xml"/>
  <Override PartName="/xl/revisions/revisionLog248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273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26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62.xml" ContentType="application/vnd.openxmlformats-officedocument.spreadsheetml.revisionLog+xml"/>
  <Override PartName="/xl/revisions/revisionLog199.xml" ContentType="application/vnd.openxmlformats-officedocument.spreadsheetml.revisionLog+xml"/>
  <Override PartName="/xl/revisions/revisionLog349.xml" ContentType="application/vnd.openxmlformats-officedocument.spreadsheetml.revisionLog+xml"/>
  <Override PartName="/xl/revisions/revisionLog215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240.xml" ContentType="application/vnd.openxmlformats-officedocument.spreadsheetml.revisionLog+xml"/>
  <Override PartName="/xl/revisions/revisionLog251.xml" ContentType="application/vnd.openxmlformats-officedocument.spreadsheetml.revisionLog+xml"/>
  <Override PartName="/xl/revisions/revisionLog338.xml" ContentType="application/vnd.openxmlformats-officedocument.spreadsheetml.revisionLog+xml"/>
  <Override PartName="/xl/revisions/revisionLog188.xml" ContentType="application/vnd.openxmlformats-officedocument.spreadsheetml.revisionLog+xml"/>
  <Override PartName="/xl/revisions/revisionLog204.xml" ContentType="application/vnd.openxmlformats-officedocument.spreadsheetml.revisionLog+xml"/>
  <Override PartName="/xl/revisions/revisionLog327.xml" ContentType="application/vnd.openxmlformats-officedocument.spreadsheetml.revisionLog+xml"/>
  <Override PartName="/xl/revisions/revisionLog177.xml" ContentType="application/vnd.openxmlformats-officedocument.spreadsheetml.revisionLog+xml"/>
  <Override PartName="/xl/revisions/revisionLog374.xml" ContentType="application/vnd.openxmlformats-officedocument.spreadsheetml.revisionLog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305.xml" ContentType="application/vnd.openxmlformats-officedocument.spreadsheetml.revisionLog+xml"/>
  <Override PartName="/xl/revisions/revisionLog316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166.xml" ContentType="application/vnd.openxmlformats-officedocument.spreadsheetml.revisionLog+xml"/>
  <Override PartName="/xl/revisions/revisionLog352.xml" ContentType="application/vnd.openxmlformats-officedocument.spreadsheetml.revisionLog+xml"/>
  <Override PartName="/xl/revisions/revisionLog363.xml" ContentType="application/vnd.openxmlformats-officedocument.spreadsheetml.revisionLog+xml"/>
  <Override PartName="/xl/revisions/revisionLog144.xml" ContentType="application/vnd.openxmlformats-officedocument.spreadsheetml.revisionLog+xml"/>
  <Override PartName="/xl/revisions/revisionLog155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341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289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30.xml" ContentType="application/vnd.openxmlformats-officedocument.spreadsheetml.revisionLog+xml"/>
  <Override PartName="/xl/revisions/revisionLog180.xml" ContentType="application/vnd.openxmlformats-officedocument.spreadsheetml.revisionLog+xml"/>
  <Override PartName="/xl/revisions/revisionLog267.xml" ContentType="application/vnd.openxmlformats-officedocument.spreadsheetml.revisionLog+xml"/>
  <Override PartName="/xl/revisions/revisionLog278.xml" ContentType="application/vnd.openxmlformats-officedocument.spreadsheetml.revisionLog+xml"/>
  <Override PartName="/xl/revisions/revisionLog75.xml" ContentType="application/vnd.openxmlformats-officedocument.spreadsheetml.revisionLog+xml"/>
  <Override PartName="/xl/workbook.xml" ContentType="application/vnd.openxmlformats-officedocument.spreadsheetml.sheet.main+xml"/>
  <Override PartName="/xl/revisions/revisionLog122.xml" ContentType="application/vnd.openxmlformats-officedocument.spreadsheetml.revisionLog+xml"/>
  <Override PartName="/xl/revisions/revisionLog209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6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379.xml" ContentType="application/vnd.openxmlformats-officedocument.spreadsheetml.revisionLog+xml"/>
  <Override PartName="/xl/revisions/revisionLog245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292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281.xml" ContentType="application/vnd.openxmlformats-officedocument.spreadsheetml.revisionLog+xml"/>
  <Override PartName="/xl/revisions/revisionLog368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34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270.xml" ContentType="application/vnd.openxmlformats-officedocument.spreadsheetml.revisionLog+xml"/>
  <Override PartName="/xl/revisions/revisionLog357.xml" ContentType="application/vnd.openxmlformats-officedocument.spreadsheetml.revisionLog+xml"/>
  <Override PartName="/xl/revisions/revisionLog212.xml" ContentType="application/vnd.openxmlformats-officedocument.spreadsheetml.revisionLog+xml"/>
  <Override PartName="/xl/revisions/revisionLog223.xml" ContentType="application/vnd.openxmlformats-officedocument.spreadsheetml.revisionLog+xml"/>
  <Override PartName="/xl/revisions/revisionLog20.xml" ContentType="application/vnd.openxmlformats-officedocument.spreadsheetml.revisionLog+xml"/>
  <Override PartName="/docProps/core.xml" ContentType="application/vnd.openxmlformats-package.core-properties+xml"/>
  <Override PartName="/xl/revisions/revisionLog196.xml" ContentType="application/vnd.openxmlformats-officedocument.spreadsheetml.revisionLog+xml"/>
  <Override PartName="/xl/revisions/revisionLog346.xml" ContentType="application/vnd.openxmlformats-officedocument.spreadsheetml.revisionLog+xml"/>
  <Override PartName="/xl/revisions/revisionLog201.xml" ContentType="application/vnd.openxmlformats-officedocument.spreadsheetml.revisionLog+xml"/>
  <Override PartName="/xl/revisions/revisionLog149.xml" ContentType="application/vnd.openxmlformats-officedocument.spreadsheetml.revisionLog+xml"/>
  <Override PartName="/xl/revisions/revisionLog335.xml" ContentType="application/vnd.openxmlformats-officedocument.spreadsheetml.revisionLog+xml"/>
  <Override PartName="/xl/revisions/revisionLog174.xml" ContentType="application/vnd.openxmlformats-officedocument.spreadsheetml.revisionLog+xml"/>
  <Override PartName="/xl/revisions/revisionLog185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371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138.xml" ContentType="application/vnd.openxmlformats-officedocument.spreadsheetml.revisionLog+xml"/>
  <Override PartName="/xl/revisions/revisionLog324.xml" ContentType="application/vnd.openxmlformats-officedocument.spreadsheetml.revisionLog+xml"/>
  <Override PartName="/xl/theme/theme1.xml" ContentType="application/vnd.openxmlformats-officedocument.theme+xml"/>
  <Override PartName="/xl/revisions/revisionLog16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360.xml" ContentType="application/vnd.openxmlformats-officedocument.spreadsheetml.revisionLog+xml"/>
  <Override PartName="/xl/revisions/revisionLog313.xml" ContentType="application/vnd.openxmlformats-officedocument.spreadsheetml.revisionLog+xml"/>
  <Override PartName="/xl/revisions/revisionLog116.xml" ContentType="application/vnd.openxmlformats-officedocument.spreadsheetml.revisionLog+xml"/>
  <Default Extension="rels" ContentType="application/vnd.openxmlformats-package.relationships+xml"/>
  <Override PartName="/xl/revisions/revisionLog152.xml" ContentType="application/vnd.openxmlformats-officedocument.spreadsheetml.revisionLog+xml"/>
  <Override PartName="/xl/revisions/revisionLog239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297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286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302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228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275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217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64.xml" ContentType="application/vnd.openxmlformats-officedocument.spreadsheetml.revisionLog+xml"/>
  <Override PartName="/xl/revisions/revisionLog61.xml" ContentType="application/vnd.openxmlformats-officedocument.spreadsheetml.revisionLog+xml"/>
  <Override PartName="/xl/worksheets/sheet1.xml" ContentType="application/vnd.openxmlformats-officedocument.spreadsheetml.worksheet+xml"/>
  <Override PartName="/xl/revisions/revisionLog242.xml" ContentType="application/vnd.openxmlformats-officedocument.spreadsheetml.revisionLog+xml"/>
  <Override PartName="/xl/revisions/revisionLog253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206.xml" ContentType="application/vnd.openxmlformats-officedocument.spreadsheetml.revisionLog+xml"/>
  <Override PartName="/xl/revisions/revisionLog231.xml" ContentType="application/vnd.openxmlformats-officedocument.spreadsheetml.revisionLog+xml"/>
  <Override PartName="/xl/revisions/revisionLog329.xml" ContentType="application/vnd.openxmlformats-officedocument.spreadsheetml.revisionLog+xml"/>
  <Override PartName="/xl/revisions/revisionLog179.xml" ContentType="application/vnd.openxmlformats-officedocument.spreadsheetml.revisionLog+xml"/>
  <Override PartName="/xl/revisions/revisionLog376.xml" ContentType="application/vnd.openxmlformats-officedocument.spreadsheetml.revisionLog+xml"/>
  <Override PartName="/xl/revisions/revisionLog307.xml" ContentType="application/vnd.openxmlformats-officedocument.spreadsheetml.revisionLog+xml"/>
  <Override PartName="/xl/revisions/revisionLog318.xml" ContentType="application/vnd.openxmlformats-officedocument.spreadsheetml.revisionLog+xml"/>
  <Override PartName="/xl/revisions/revisionLog220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68.xml" ContentType="application/vnd.openxmlformats-officedocument.spreadsheetml.revisionLog+xml"/>
  <Override PartName="/xl/revisions/revisionLog354.xml" ContentType="application/vnd.openxmlformats-officedocument.spreadsheetml.revisionLog+xml"/>
  <Override PartName="/xl/revisions/revisionLog365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146.xml" ContentType="application/vnd.openxmlformats-officedocument.spreadsheetml.revisionLog+xml"/>
  <Override PartName="/xl/revisions/revisionLog157.xml" ContentType="application/vnd.openxmlformats-officedocument.spreadsheetml.revisionLog+xml"/>
  <Override PartName="/xl/revisions/revisionLog193.xml" ContentType="application/vnd.openxmlformats-officedocument.spreadsheetml.revisionLog+xml"/>
  <Override PartName="/xl/revisions/revisionLog343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1451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332.xml" ContentType="application/vnd.openxmlformats-officedocument.spreadsheetml.revisionLog+xml"/>
  <Override PartName="/xl/revisions/revisionLog182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10.xml" ContentType="application/vnd.openxmlformats-officedocument.spreadsheetml.revisionLog+xml"/>
  <Override PartName="/xl/revisions/revisionLog321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258.xml" ContentType="application/vnd.openxmlformats-officedocument.spreadsheetml.revisionLog+xml"/>
  <Override PartName="/xl/revisions/revisionLog269.xml" ContentType="application/vnd.openxmlformats-officedocument.spreadsheetml.revisionLog+xml"/>
  <Override PartName="/xl/revisions/revisionLog294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1221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60.xml" ContentType="application/vnd.openxmlformats-officedocument.spreadsheetml.revisionLog+xml"/>
  <Override PartName="/xl/revisions/revisionLog247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283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236.xml" ContentType="application/vnd.openxmlformats-officedocument.spreadsheetml.revisionLog+xml"/>
  <Override PartName="/xl/revisions/revisionLog1391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261.xml" ContentType="application/vnd.openxmlformats-officedocument.spreadsheetml.revisionLog+xml"/>
  <Override PartName="/xl/revisions/revisionLog272.xml" ContentType="application/vnd.openxmlformats-officedocument.spreadsheetml.revisionLog+xml"/>
  <Override PartName="/xl/revisions/revisionLog359.xml" ContentType="application/vnd.openxmlformats-officedocument.spreadsheetml.revisionLog+xml"/>
  <Override PartName="/xl/revisions/revisionLog214.xml" ContentType="application/vnd.openxmlformats-officedocument.spreadsheetml.revisionLog+xml"/>
  <Override PartName="/xl/revisions/revisionLog225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50.xml" ContentType="application/vnd.openxmlformats-officedocument.spreadsheetml.revisionLog+xml"/>
  <Override PartName="/xl/revisions/revisionLog198.xml" ContentType="application/vnd.openxmlformats-officedocument.spreadsheetml.revisionLog+xml"/>
  <Override PartName="/xl/revisions/revisionLog348.xml" ContentType="application/vnd.openxmlformats-officedocument.spreadsheetml.revisionLog+xml"/>
  <Override PartName="/xl/revisions/revisionLog203.xml" ContentType="application/vnd.openxmlformats-officedocument.spreadsheetml.revisionLog+xml"/>
  <Override PartName="/xl/revisions/revisionLog326.xml" ContentType="application/vnd.openxmlformats-officedocument.spreadsheetml.revisionLog+xml"/>
  <Override PartName="/xl/revisions/revisionLog337.xml" ContentType="application/vnd.openxmlformats-officedocument.spreadsheetml.revisionLog+xml"/>
  <Override PartName="/xl/revisions/revisionLog176.xml" ContentType="application/vnd.openxmlformats-officedocument.spreadsheetml.revisionLog+xml"/>
  <Override PartName="/xl/revisions/revisionLog187.xml" ContentType="application/vnd.openxmlformats-officedocument.spreadsheetml.revisionLog+xml"/>
  <Override PartName="/xl/revisions/revisionLog373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165.xml" ContentType="application/vnd.openxmlformats-officedocument.spreadsheetml.revisionLog+xml"/>
  <Override PartName="/xl/revisions/revisionLog351.xml" ContentType="application/vnd.openxmlformats-officedocument.spreadsheetml.revisionLog+xml"/>
  <Override PartName="/xl/revisions/revisionLog288.xml" ContentType="application/vnd.openxmlformats-officedocument.spreadsheetml.revisionLog+xml"/>
  <Override PartName="/xl/revisions/revisionLog304.xml" ContentType="application/vnd.openxmlformats-officedocument.spreadsheetml.revisionLog+xml"/>
  <Override PartName="/xl/revisions/revisionLog14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190.xml" ContentType="application/vnd.openxmlformats-officedocument.spreadsheetml.revisionLog+xml"/>
  <Override PartName="/xl/revisions/revisionLog8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500" yWindow="750" windowWidth="12870" windowHeight="12465"/>
  </bookViews>
  <sheets>
    <sheet name="программы " sheetId="1" r:id="rId1"/>
  </sheets>
  <definedNames>
    <definedName name="_xlnm._FilterDatabase" localSheetId="0" hidden="1">'программы '!$C$1:$C$966</definedName>
    <definedName name="Z_30E81E54_DD45_4653_9DCD_548F6723F554_.wvu.FilterData" localSheetId="0" hidden="1">'программы '!$C$1:$C$966</definedName>
    <definedName name="Z_30E81E54_DD45_4653_9DCD_548F6723F554_.wvu.PrintArea" localSheetId="0" hidden="1">'программы '!$A$1:$D$958</definedName>
    <definedName name="Z_30E81E54_DD45_4653_9DCD_548F6723F554_.wvu.Rows" localSheetId="0" hidden="1">'программы '!$312:$320</definedName>
    <definedName name="Z_422E0643_716B_47E7_AE88_81F462B78F5E_.wvu.FilterData" localSheetId="0" hidden="1">'программы '!$A$12:$D$395</definedName>
    <definedName name="Z_547FB17C_1FA3_4D81_B22A_42218056849D_.wvu.FilterData" localSheetId="0" hidden="1">'программы '!$B$1:$B$966</definedName>
    <definedName name="Z_547FB17C_1FA3_4D81_B22A_42218056849D_.wvu.PrintArea" localSheetId="0" hidden="1">'программы '!$A$1:$D$958</definedName>
    <definedName name="Z_683BEDAB_5AF7_4F46_BC3A_F9D325B8EF01_.wvu.FilterData" localSheetId="0" hidden="1">'программы '!$B$1:$B$966</definedName>
    <definedName name="Z_6F8BA463_0055_46DE_8D23_E8E86D83EC4B_.wvu.FilterData" localSheetId="0" hidden="1">'программы '!$B$1:$B$966</definedName>
    <definedName name="Z_7E5C1749_FF4E_4347_A58E_2DEF63C9D9CB_.wvu.FilterData" localSheetId="0" hidden="1">'программы '!$B$1:$B$966</definedName>
    <definedName name="Z_9A752CC5_36AC_48BE_BF4B_1A38C4015906_.wvu.FilterData" localSheetId="0" hidden="1">'программы '!$C$1:$C$966</definedName>
    <definedName name="Z_9A752CC5_36AC_48BE_BF4B_1A38C4015906_.wvu.PrintArea" localSheetId="0" hidden="1">'программы '!$A$1:$D$958</definedName>
    <definedName name="Z_A9343E6B_D859_48A0_829D_4F2D36478972_.wvu.FilterData" localSheetId="0" hidden="1">'программы '!$C$1:$C$966</definedName>
    <definedName name="Z_A9343E6B_D859_48A0_829D_4F2D36478972_.wvu.PrintArea" localSheetId="0" hidden="1">'программы '!$A$1:$D$958</definedName>
    <definedName name="Z_B6A6CD91_8C02_4179_BDF9_26B76D8F7736_.wvu.FilterData" localSheetId="0" hidden="1">'программы '!$A$12:$D$395</definedName>
    <definedName name="Z_C401343A_675B_4FC1_A6F5_67CE31618685_.wvu.FilterData" localSheetId="0" hidden="1">'программы '!$B$1:$B$966</definedName>
    <definedName name="Z_D9B90A86_BE39_4FED_8226_084809D277F3_.wvu.FilterData" localSheetId="0" hidden="1">'программы '!$C$1:$C$966</definedName>
    <definedName name="Z_D9B90A86_BE39_4FED_8226_084809D277F3_.wvu.PrintArea" localSheetId="0" hidden="1">'программы '!$A$1:$D$958</definedName>
    <definedName name="Z_F8703169_880A_4977_8713_9386DA2F09A9_.wvu.FilterData" localSheetId="0" hidden="1">'программы '!$B$1:$B$966</definedName>
    <definedName name="_xlnm.Print_Area" localSheetId="0">'программы '!$A$1:$D$958</definedName>
  </definedNames>
  <calcPr calcId="125725" iterate="1"/>
  <customWorkbookViews>
    <customWorkbookView name="Молчанова Елена Валерьевна - Личное представление" guid="{9A752CC5-36AC-48BE-BF4B-1A38C4015906}" mergeInterval="0" personalView="1" maximized="1" xWindow="1" yWindow="1" windowWidth="1916" windowHeight="850" activeSheetId="1"/>
    <customWorkbookView name="Латышева Ольга Яковлевна - Личное представление" guid="{30E81E54-DD45-4653-9DCD-548F6723F554}" mergeInterval="0" personalView="1" maximized="1" windowWidth="1916" windowHeight="854" activeSheetId="1"/>
    <customWorkbookView name="feu09 - Личное представление" guid="{A9343E6B-D859-48A0-829D-4F2D36478972}" mergeInterval="0" personalView="1" maximized="1" windowWidth="1916" windowHeight="855" activeSheetId="1"/>
    <customWorkbookView name="Шерепа Ольга Николаевна - Личное представление" guid="{683BEDAB-5AF7-4F46-BC3A-F9D325B8EF01}" mergeInterval="0" personalView="1" maximized="1" xWindow="1" yWindow="1" windowWidth="1916" windowHeight="800" activeSheetId="1"/>
    <customWorkbookView name="Гайнова Вероника Андреевна - Личное представление" guid="{547FB17C-1FA3-4D81-B22A-42218056849D}" mergeInterval="0" personalView="1" maximized="1" windowWidth="1916" windowHeight="854" activeSheetId="1"/>
    <customWorkbookView name="Третьякова Елена Владимировна - Личное представление" guid="{D9B90A86-BE39-4FED-8226-084809D277F3}" mergeInterval="0" personalView="1" xWindow="910" yWindow="83" windowWidth="838" windowHeight="788" activeSheetId="1"/>
  </customWorkbookViews>
</workbook>
</file>

<file path=xl/calcChain.xml><?xml version="1.0" encoding="utf-8"?>
<calcChain xmlns="http://schemas.openxmlformats.org/spreadsheetml/2006/main">
  <c r="D813" i="1"/>
  <c r="D735"/>
  <c r="D734" s="1"/>
  <c r="D746"/>
  <c r="D745" s="1"/>
  <c r="D391" l="1"/>
  <c r="D187" l="1"/>
  <c r="D186" s="1"/>
  <c r="D185" s="1"/>
  <c r="D884" l="1"/>
  <c r="D881"/>
  <c r="D880"/>
  <c r="D879"/>
  <c r="D470"/>
  <c r="D428"/>
  <c r="D34"/>
  <c r="D148"/>
  <c r="D126"/>
  <c r="D125" s="1"/>
  <c r="D124" s="1"/>
  <c r="D65"/>
  <c r="D32" l="1"/>
  <c r="D33"/>
  <c r="D538" l="1"/>
  <c r="D537" s="1"/>
  <c r="D536" s="1"/>
  <c r="D721" l="1"/>
  <c r="D720" s="1"/>
  <c r="D943" l="1"/>
  <c r="D933"/>
  <c r="D925"/>
  <c r="D385"/>
  <c r="D86"/>
  <c r="D85" s="1"/>
  <c r="D84" s="1"/>
  <c r="D600" l="1"/>
  <c r="D225"/>
  <c r="D860" l="1"/>
  <c r="D859" s="1"/>
  <c r="D116"/>
  <c r="D252" l="1"/>
  <c r="D251" s="1"/>
  <c r="D635"/>
  <c r="D375"/>
  <c r="D19" l="1"/>
  <c r="D825"/>
  <c r="D525"/>
  <c r="D444"/>
  <c r="D443" s="1"/>
  <c r="D442" s="1"/>
  <c r="D74"/>
  <c r="D73" s="1"/>
  <c r="D72" s="1"/>
  <c r="D403" l="1"/>
  <c r="D402" s="1"/>
  <c r="D401" s="1"/>
  <c r="D808" l="1"/>
  <c r="D947" l="1"/>
  <c r="D924" l="1"/>
  <c r="D923" s="1"/>
  <c r="D820"/>
  <c r="D819" s="1"/>
  <c r="D818" s="1"/>
  <c r="D461"/>
  <c r="D460" s="1"/>
  <c r="D491"/>
  <c r="D495"/>
  <c r="D774"/>
  <c r="D346"/>
  <c r="D342"/>
  <c r="D341" s="1"/>
  <c r="D333"/>
  <c r="D937"/>
  <c r="D928"/>
  <c r="D927" s="1"/>
  <c r="D131"/>
  <c r="D922" l="1"/>
  <c r="D708"/>
  <c r="D707" s="1"/>
  <c r="D576"/>
  <c r="D583"/>
  <c r="D103"/>
  <c r="D82"/>
  <c r="D81" s="1"/>
  <c r="D80" s="1"/>
  <c r="D546"/>
  <c r="D545" s="1"/>
  <c r="D544" s="1"/>
  <c r="D811"/>
  <c r="D942"/>
  <c r="D932"/>
  <c r="D630"/>
  <c r="D629" s="1"/>
  <c r="D628" s="1"/>
  <c r="D374"/>
  <c r="D373" s="1"/>
  <c r="D359"/>
  <c r="D358"/>
  <c r="D280"/>
  <c r="D279" s="1"/>
  <c r="D799"/>
  <c r="D299"/>
  <c r="D298" s="1"/>
  <c r="D297" s="1"/>
  <c r="D897"/>
  <c r="D362"/>
  <c r="D804"/>
  <c r="D803" s="1"/>
  <c r="D305"/>
  <c r="D713" l="1"/>
  <c r="D712" s="1"/>
  <c r="D731"/>
  <c r="D357"/>
  <c r="D356" s="1"/>
  <c r="D845" l="1"/>
  <c r="D844" s="1"/>
  <c r="D315" l="1"/>
  <c r="D314" s="1"/>
  <c r="D313" s="1"/>
  <c r="D312" s="1"/>
  <c r="D256" l="1"/>
  <c r="D255" s="1"/>
  <c r="D250" s="1"/>
  <c r="D353" l="1"/>
  <c r="D352" s="1"/>
  <c r="D351" s="1"/>
  <c r="D361"/>
  <c r="D360" s="1"/>
  <c r="D355" s="1"/>
  <c r="D349"/>
  <c r="D836" l="1"/>
  <c r="D835" s="1"/>
  <c r="D834" s="1"/>
  <c r="D816"/>
  <c r="D815" s="1"/>
  <c r="D814" s="1"/>
  <c r="D738"/>
  <c r="D334"/>
  <c r="D953"/>
  <c r="D952" s="1"/>
  <c r="D951" s="1"/>
  <c r="D950" s="1"/>
  <c r="D941"/>
  <c r="D931"/>
  <c r="D260"/>
  <c r="D259" s="1"/>
  <c r="D258" s="1"/>
  <c r="D936"/>
  <c r="D935" s="1"/>
  <c r="D946"/>
  <c r="D945" s="1"/>
  <c r="D174"/>
  <c r="D173" s="1"/>
  <c r="D172" s="1"/>
  <c r="D106"/>
  <c r="D105" s="1"/>
  <c r="D104" s="1"/>
  <c r="D40"/>
  <c r="D39" s="1"/>
  <c r="D38" s="1"/>
  <c r="D768" l="1"/>
  <c r="D730"/>
  <c r="D741"/>
  <c r="D740" s="1"/>
  <c r="D191"/>
  <c r="D182"/>
  <c r="D729" l="1"/>
  <c r="D728" s="1"/>
  <c r="D338"/>
  <c r="D337" s="1"/>
  <c r="D336" s="1"/>
  <c r="D856" l="1"/>
  <c r="D855" s="1"/>
  <c r="D854" s="1"/>
  <c r="D561" l="1"/>
  <c r="D560" s="1"/>
  <c r="D559" s="1"/>
  <c r="D558" s="1"/>
  <c r="D551"/>
  <c r="D550" s="1"/>
  <c r="D549" s="1"/>
  <c r="D548" s="1"/>
  <c r="D494"/>
  <c r="D493" s="1"/>
  <c r="D492" s="1"/>
  <c r="D415"/>
  <c r="D414" s="1"/>
  <c r="D413" s="1"/>
  <c r="D412" s="1"/>
  <c r="D78"/>
  <c r="D77" s="1"/>
  <c r="D76" s="1"/>
  <c r="D542" l="1"/>
  <c r="D541" s="1"/>
  <c r="D540" s="1"/>
  <c r="D828"/>
  <c r="D827" s="1"/>
  <c r="D826" s="1"/>
  <c r="D832"/>
  <c r="D831" s="1"/>
  <c r="D830" s="1"/>
  <c r="D840"/>
  <c r="D839" s="1"/>
  <c r="D838" s="1"/>
  <c r="D384"/>
  <c r="D383" s="1"/>
  <c r="D849"/>
  <c r="D848" s="1"/>
  <c r="D98"/>
  <c r="D97" s="1"/>
  <c r="D96" s="1"/>
  <c r="D56"/>
  <c r="D55" s="1"/>
  <c r="D54" s="1"/>
  <c r="D238"/>
  <c r="D237" s="1"/>
  <c r="D236" s="1"/>
  <c r="D197"/>
  <c r="D196" s="1"/>
  <c r="D195" s="1"/>
  <c r="D194" s="1"/>
  <c r="D156"/>
  <c r="D155" s="1"/>
  <c r="D154" s="1"/>
  <c r="D161"/>
  <c r="D160" s="1"/>
  <c r="D159" s="1"/>
  <c r="D158" s="1"/>
  <c r="D60"/>
  <c r="D59" s="1"/>
  <c r="D58" s="1"/>
  <c r="D122"/>
  <c r="D121" s="1"/>
  <c r="D120" s="1"/>
  <c r="D102"/>
  <c r="D101" s="1"/>
  <c r="D100" s="1"/>
  <c r="D843" l="1"/>
  <c r="D842" s="1"/>
  <c r="D115" l="1"/>
  <c r="D114" s="1"/>
  <c r="D810"/>
  <c r="D809" s="1"/>
  <c r="D948" l="1"/>
  <c r="D940" s="1"/>
  <c r="D686"/>
  <c r="D685" s="1"/>
  <c r="D684" s="1"/>
  <c r="D147"/>
  <c r="D146" s="1"/>
  <c r="D145" s="1"/>
  <c r="D143"/>
  <c r="D142" s="1"/>
  <c r="D141" s="1"/>
  <c r="D938"/>
  <c r="D930" s="1"/>
  <c r="D18"/>
  <c r="D16" s="1"/>
  <c r="D15" s="1"/>
  <c r="D23"/>
  <c r="D22" s="1"/>
  <c r="D21" s="1"/>
  <c r="D27"/>
  <c r="D26" s="1"/>
  <c r="D30"/>
  <c r="D29" s="1"/>
  <c r="D44"/>
  <c r="D42" s="1"/>
  <c r="D48"/>
  <c r="D47" s="1"/>
  <c r="D52"/>
  <c r="D51" s="1"/>
  <c r="D64"/>
  <c r="D62" s="1"/>
  <c r="D69"/>
  <c r="D67" s="1"/>
  <c r="D90"/>
  <c r="D89" s="1"/>
  <c r="D92"/>
  <c r="D94"/>
  <c r="D93" s="1"/>
  <c r="D110"/>
  <c r="D109" s="1"/>
  <c r="D118"/>
  <c r="D113" s="1"/>
  <c r="D130"/>
  <c r="D129" s="1"/>
  <c r="D134"/>
  <c r="D132" s="1"/>
  <c r="D138"/>
  <c r="D137" s="1"/>
  <c r="D136" s="1"/>
  <c r="D152"/>
  <c r="D151" s="1"/>
  <c r="D150" s="1"/>
  <c r="D149" s="1"/>
  <c r="D165"/>
  <c r="D163" s="1"/>
  <c r="D169"/>
  <c r="D168" s="1"/>
  <c r="D178"/>
  <c r="D177" s="1"/>
  <c r="D180"/>
  <c r="D189"/>
  <c r="D202"/>
  <c r="D200" s="1"/>
  <c r="D206"/>
  <c r="D209"/>
  <c r="D211"/>
  <c r="D214"/>
  <c r="D213" s="1"/>
  <c r="D219"/>
  <c r="D218" s="1"/>
  <c r="D224"/>
  <c r="D223" s="1"/>
  <c r="D226"/>
  <c r="D230"/>
  <c r="D229" s="1"/>
  <c r="D233"/>
  <c r="D232" s="1"/>
  <c r="D242"/>
  <c r="D241" s="1"/>
  <c r="D246"/>
  <c r="D245" s="1"/>
  <c r="D264"/>
  <c r="D263" s="1"/>
  <c r="D262" s="1"/>
  <c r="D268"/>
  <c r="D267" s="1"/>
  <c r="D266" s="1"/>
  <c r="D272"/>
  <c r="D271" s="1"/>
  <c r="D270" s="1"/>
  <c r="D277"/>
  <c r="D276" s="1"/>
  <c r="D275" s="1"/>
  <c r="D284"/>
  <c r="D283" s="1"/>
  <c r="D282" s="1"/>
  <c r="D290"/>
  <c r="D289" s="1"/>
  <c r="D295"/>
  <c r="D294" s="1"/>
  <c r="D293" s="1"/>
  <c r="D303"/>
  <c r="D307"/>
  <c r="D310"/>
  <c r="D308" s="1"/>
  <c r="D319"/>
  <c r="D317" s="1"/>
  <c r="D325"/>
  <c r="D324" s="1"/>
  <c r="D328"/>
  <c r="D327" s="1"/>
  <c r="D332"/>
  <c r="D345"/>
  <c r="D344" s="1"/>
  <c r="D348"/>
  <c r="D347" s="1"/>
  <c r="D365"/>
  <c r="D364" s="1"/>
  <c r="D363" s="1"/>
  <c r="D370"/>
  <c r="D369" s="1"/>
  <c r="D368" s="1"/>
  <c r="D376"/>
  <c r="D372" s="1"/>
  <c r="D381"/>
  <c r="D380" s="1"/>
  <c r="D379" s="1"/>
  <c r="D390"/>
  <c r="D388" s="1"/>
  <c r="D395"/>
  <c r="D394" s="1"/>
  <c r="D393" s="1"/>
  <c r="D399"/>
  <c r="D398" s="1"/>
  <c r="D397" s="1"/>
  <c r="D409"/>
  <c r="D407" s="1"/>
  <c r="D406" s="1"/>
  <c r="D421"/>
  <c r="D420" s="1"/>
  <c r="D419" s="1"/>
  <c r="D418" s="1"/>
  <c r="D417" s="1"/>
  <c r="D427"/>
  <c r="D425" s="1"/>
  <c r="D432"/>
  <c r="D431" s="1"/>
  <c r="D430" s="1"/>
  <c r="D436"/>
  <c r="D435" s="1"/>
  <c r="D434" s="1"/>
  <c r="D440"/>
  <c r="D439" s="1"/>
  <c r="D438" s="1"/>
  <c r="D449"/>
  <c r="D448" s="1"/>
  <c r="D447" s="1"/>
  <c r="D454"/>
  <c r="D453" s="1"/>
  <c r="D452" s="1"/>
  <c r="D458"/>
  <c r="D465"/>
  <c r="D464" s="1"/>
  <c r="D463" s="1"/>
  <c r="D469"/>
  <c r="D468" s="1"/>
  <c r="D467" s="1"/>
  <c r="D474"/>
  <c r="D473" s="1"/>
  <c r="D479"/>
  <c r="D478" s="1"/>
  <c r="D481"/>
  <c r="D485"/>
  <c r="D484" s="1"/>
  <c r="D483" s="1"/>
  <c r="D490"/>
  <c r="D488" s="1"/>
  <c r="D487" s="1"/>
  <c r="D499"/>
  <c r="D498" s="1"/>
  <c r="D504"/>
  <c r="D503" s="1"/>
  <c r="D509"/>
  <c r="D508" s="1"/>
  <c r="D513"/>
  <c r="D512" s="1"/>
  <c r="D511" s="1"/>
  <c r="D518"/>
  <c r="D517" s="1"/>
  <c r="D523"/>
  <c r="D522" s="1"/>
  <c r="D529"/>
  <c r="D528" s="1"/>
  <c r="D534"/>
  <c r="D533" s="1"/>
  <c r="D532" s="1"/>
  <c r="D531" s="1"/>
  <c r="D556"/>
  <c r="D555" s="1"/>
  <c r="D554" s="1"/>
  <c r="D565"/>
  <c r="D564" s="1"/>
  <c r="D563" s="1"/>
  <c r="D570"/>
  <c r="D569" s="1"/>
  <c r="D568" s="1"/>
  <c r="D575"/>
  <c r="D574" s="1"/>
  <c r="D578"/>
  <c r="D582"/>
  <c r="D581" s="1"/>
  <c r="D585"/>
  <c r="D589"/>
  <c r="D587" s="1"/>
  <c r="D594"/>
  <c r="D593" s="1"/>
  <c r="D592" s="1"/>
  <c r="D591" s="1"/>
  <c r="D599"/>
  <c r="D597" s="1"/>
  <c r="D596" s="1"/>
  <c r="D605"/>
  <c r="D604" s="1"/>
  <c r="D610"/>
  <c r="D609" s="1"/>
  <c r="D613"/>
  <c r="D612" s="1"/>
  <c r="D617"/>
  <c r="D616" s="1"/>
  <c r="D615" s="1"/>
  <c r="D621"/>
  <c r="D620" s="1"/>
  <c r="D619" s="1"/>
  <c r="D626"/>
  <c r="D625" s="1"/>
  <c r="D624" s="1"/>
  <c r="D634"/>
  <c r="D633" s="1"/>
  <c r="D632" s="1"/>
  <c r="D640"/>
  <c r="D639" s="1"/>
  <c r="D638" s="1"/>
  <c r="D647"/>
  <c r="D645" s="1"/>
  <c r="D644" s="1"/>
  <c r="D653"/>
  <c r="D659"/>
  <c r="D658" s="1"/>
  <c r="D665"/>
  <c r="D664" s="1"/>
  <c r="D671"/>
  <c r="D670" s="1"/>
  <c r="D676"/>
  <c r="D675" s="1"/>
  <c r="D682"/>
  <c r="D681" s="1"/>
  <c r="D691"/>
  <c r="D690" s="1"/>
  <c r="D696"/>
  <c r="D695" s="1"/>
  <c r="D700"/>
  <c r="D699" s="1"/>
  <c r="D705"/>
  <c r="D704" s="1"/>
  <c r="D718"/>
  <c r="D724"/>
  <c r="D723" s="1"/>
  <c r="D743"/>
  <c r="D737" s="1"/>
  <c r="D751"/>
  <c r="D750" s="1"/>
  <c r="D756"/>
  <c r="D755" s="1"/>
  <c r="D761"/>
  <c r="D759" s="1"/>
  <c r="D765"/>
  <c r="D764" s="1"/>
  <c r="D763" s="1"/>
  <c r="D771"/>
  <c r="D770" s="1"/>
  <c r="D773"/>
  <c r="D772" s="1"/>
  <c r="D778"/>
  <c r="D777" s="1"/>
  <c r="D776" s="1"/>
  <c r="D782"/>
  <c r="D787"/>
  <c r="D786" s="1"/>
  <c r="D791"/>
  <c r="D790" s="1"/>
  <c r="D795"/>
  <c r="D794" s="1"/>
  <c r="D793" s="1"/>
  <c r="D798"/>
  <c r="D806"/>
  <c r="D824"/>
  <c r="D823" s="1"/>
  <c r="D822" s="1"/>
  <c r="D862"/>
  <c r="D858" s="1"/>
  <c r="D863"/>
  <c r="D866"/>
  <c r="D865" s="1"/>
  <c r="D867"/>
  <c r="D872"/>
  <c r="D871" s="1"/>
  <c r="D870" s="1"/>
  <c r="D869" s="1"/>
  <c r="D878"/>
  <c r="D877" s="1"/>
  <c r="D883"/>
  <c r="D882" s="1"/>
  <c r="D887"/>
  <c r="D885" s="1"/>
  <c r="D892"/>
  <c r="D891" s="1"/>
  <c r="D896"/>
  <c r="D901"/>
  <c r="D905"/>
  <c r="D908"/>
  <c r="D907" s="1"/>
  <c r="D911"/>
  <c r="D910" s="1"/>
  <c r="D917"/>
  <c r="D916" s="1"/>
  <c r="D915" s="1"/>
  <c r="D914" s="1"/>
  <c r="D913" s="1"/>
  <c r="D711" l="1"/>
  <c r="D249"/>
  <c r="D516"/>
  <c r="D424"/>
  <c r="D378"/>
  <c r="D903"/>
  <c r="D853"/>
  <c r="D584"/>
  <c r="D580"/>
  <c r="D577"/>
  <c r="D573"/>
  <c r="D890"/>
  <c r="D889" s="1"/>
  <c r="D340"/>
  <c r="D623"/>
  <c r="D921"/>
  <c r="D457"/>
  <c r="D456"/>
  <c r="D446" s="1"/>
  <c r="D717"/>
  <c r="D367"/>
  <c r="D472"/>
  <c r="D471" s="1"/>
  <c r="D797"/>
  <c r="D727"/>
  <c r="D904"/>
  <c r="D140"/>
  <c r="D288"/>
  <c r="D287" s="1"/>
  <c r="D426"/>
  <c r="D785"/>
  <c r="D408"/>
  <c r="D780"/>
  <c r="D781"/>
  <c r="D886"/>
  <c r="D651"/>
  <c r="D650" s="1"/>
  <c r="D643" s="1"/>
  <c r="D108"/>
  <c r="D17"/>
  <c r="D598"/>
  <c r="D502"/>
  <c r="D501" s="1"/>
  <c r="D497"/>
  <c r="D496" s="1"/>
  <c r="D489"/>
  <c r="D133"/>
  <c r="D698"/>
  <c r="D680"/>
  <c r="D603"/>
  <c r="D602" s="1"/>
  <c r="D601" s="1"/>
  <c r="D331"/>
  <c r="D323" s="1"/>
  <c r="D322" s="1"/>
  <c r="D760"/>
  <c r="D553"/>
  <c r="D689"/>
  <c r="D244"/>
  <c r="D167"/>
  <c r="D181"/>
  <c r="D176"/>
  <c r="D63"/>
  <c r="D50"/>
  <c r="D128"/>
  <c r="D205"/>
  <c r="D204" s="1"/>
  <c r="D199" s="1"/>
  <c r="D758"/>
  <c r="D749"/>
  <c r="D748" s="1"/>
  <c r="D876"/>
  <c r="D669"/>
  <c r="D668" s="1"/>
  <c r="D663"/>
  <c r="D662" s="1"/>
  <c r="D527"/>
  <c r="D411"/>
  <c r="D240"/>
  <c r="D217"/>
  <c r="D88"/>
  <c r="D46"/>
  <c r="D25"/>
  <c r="D20" s="1"/>
  <c r="D652"/>
  <c r="D646"/>
  <c r="D588"/>
  <c r="D389"/>
  <c r="D318"/>
  <c r="D309"/>
  <c r="D302"/>
  <c r="D301" s="1"/>
  <c r="D228"/>
  <c r="D201"/>
  <c r="D190"/>
  <c r="D164"/>
  <c r="D117"/>
  <c r="D68"/>
  <c r="D43"/>
  <c r="D171" l="1"/>
  <c r="D71"/>
  <c r="D784"/>
  <c r="D775" s="1"/>
  <c r="D423"/>
  <c r="D292"/>
  <c r="D286" s="1"/>
  <c r="D321"/>
  <c r="D235"/>
  <c r="D37"/>
  <c r="D515"/>
  <c r="D688"/>
  <c r="D679" s="1"/>
  <c r="D216"/>
  <c r="D572"/>
  <c r="D567" s="1"/>
  <c r="D874"/>
  <c r="D852" s="1"/>
  <c r="D875"/>
  <c r="D661"/>
  <c r="D678" l="1"/>
  <c r="D637" s="1"/>
  <c r="D36"/>
  <c r="D14" s="1"/>
  <c r="D958" l="1"/>
</calcChain>
</file>

<file path=xl/sharedStrings.xml><?xml version="1.0" encoding="utf-8"?>
<sst xmlns="http://schemas.openxmlformats.org/spreadsheetml/2006/main" count="2051" uniqueCount="556">
  <si>
    <t xml:space="preserve">Наименование </t>
  </si>
  <si>
    <t>Вид расходов</t>
  </si>
  <si>
    <t>Субсидии бюджетным учреждениям на иные цели</t>
  </si>
  <si>
    <t>Субсидии гражданам на приобретение жилья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</si>
  <si>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</si>
  <si>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Иные выплаты персоналу государственных (муниципальных) органов, за исключением оплаты труда</t>
  </si>
  <si>
    <t>Уплата налога на имущество организаций и земельного налога</t>
  </si>
  <si>
    <t xml:space="preserve">Уплата прочих налогов, сборов и иных платежей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</si>
  <si>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</si>
  <si>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Фонд оплаты труда государственных (муниципальных) органов</t>
  </si>
  <si>
    <t>03 0 00 00000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</si>
  <si>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</si>
  <si>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</si>
  <si>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</si>
  <si>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</si>
  <si>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</si>
  <si>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</si>
  <si>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</si>
  <si>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</si>
  <si>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</si>
  <si>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Пособия, компенсации и иные социальные выплаты гражданам, кроме публичных нормативных обязательств</t>
  </si>
  <si>
    <t>16 0 00 00000</t>
  </si>
  <si>
    <t>Иные выплаты, за исключением фонда оплаты труда муниципальных органов, лицам привлекаемым согласно законодательству для выполнения отдельных полномочий</t>
  </si>
  <si>
    <t>611</t>
  </si>
  <si>
    <t xml:space="preserve">Прочая закупка товаров, работ и услуг </t>
  </si>
  <si>
    <t>03 1 00 00000</t>
  </si>
  <si>
    <t>03 1 00 80100</t>
  </si>
  <si>
    <t>03 2 00 00000</t>
  </si>
  <si>
    <t>03 2 00 80100</t>
  </si>
  <si>
    <t>03 3 00 80100</t>
  </si>
  <si>
    <t>03 5 00 00000</t>
  </si>
  <si>
    <t>03 5 00 80100</t>
  </si>
  <si>
    <t>03 4 00 00000</t>
  </si>
  <si>
    <t>03 4 00 80010</t>
  </si>
  <si>
    <t>05 1 00 00000</t>
  </si>
  <si>
    <t>05 1 00 81520</t>
  </si>
  <si>
    <t>05 3 00 00000</t>
  </si>
  <si>
    <t>05 3 00 81520</t>
  </si>
  <si>
    <t>05 4 00 81520</t>
  </si>
  <si>
    <t>05 2 00 00000</t>
  </si>
  <si>
    <t>05 2 00 80520</t>
  </si>
  <si>
    <t>06 2 00 00000</t>
  </si>
  <si>
    <t>06 2 00 80420</t>
  </si>
  <si>
    <t>06 1 00 00000</t>
  </si>
  <si>
    <t>06 1 00 80430</t>
  </si>
  <si>
    <t>07 0 00 S8420</t>
  </si>
  <si>
    <t>08 0 00 83050</t>
  </si>
  <si>
    <t>12 1 00 00000</t>
  </si>
  <si>
    <t>12 1 00 80100</t>
  </si>
  <si>
    <t>12 2 00 00000</t>
  </si>
  <si>
    <t>12 2 00 80400</t>
  </si>
  <si>
    <t>16 0 00 80480</t>
  </si>
  <si>
    <t>19 0 00 00000</t>
  </si>
  <si>
    <t>19 0 F3 6748S</t>
  </si>
  <si>
    <t>Субсидии бюджетным учреждениям</t>
  </si>
  <si>
    <t>Реализация образовательных программ</t>
  </si>
  <si>
    <t>Расходы на обеспечение деятельности подведомственных учреждений</t>
  </si>
  <si>
    <t>Подпрограмма "Развитие дошкольного образования детей"</t>
  </si>
  <si>
    <t>Мероприятия в области образования</t>
  </si>
  <si>
    <t>Подпрограмма "Развитие общего образования детей"</t>
  </si>
  <si>
    <t>Подпрограмма "Развитие дополнительного образования детей"</t>
  </si>
  <si>
    <t>03 3 00 00000</t>
  </si>
  <si>
    <t>Подпрограмма "Развитие системы отдыха и оздоровления детей"</t>
  </si>
  <si>
    <t>Подпрограмма "Совершенствование системы предоставления услуг в сфере образования"</t>
  </si>
  <si>
    <t>Мероприятия по проведению оздоровительной кампании детей (районный бюджет)</t>
  </si>
  <si>
    <t>Расходы на содержание муниципальных органов и обеспечение их функций</t>
  </si>
  <si>
    <t>Расходы на выплату персоналу государственных (муниципальных органов)</t>
  </si>
  <si>
    <t>Иные закупки товаров,работ и услуг для обеспечения государственных (муниципальных) нужд</t>
  </si>
  <si>
    <t>Расходы на выплату персоналу государственных (муниципальных) органов</t>
  </si>
  <si>
    <t>Субсидии бюджетным учреждениям на  иные цели</t>
  </si>
  <si>
    <t>244</t>
  </si>
  <si>
    <t>Мероприятия в сфере гражданской обороны и защиты населения и территорий от чрезвычайных ситуаций</t>
  </si>
  <si>
    <t>Мероприятия в сфере обеспечения пожарной безопасности, осуществляемые органами местного самоуправления</t>
  </si>
  <si>
    <t>Мероприятия в области физической культуры и спорта</t>
  </si>
  <si>
    <t>Расходы на выплаты персоналу государственных (муниципальных) органов</t>
  </si>
  <si>
    <t xml:space="preserve">Мероприятия по отдельным видам транспорта </t>
  </si>
  <si>
    <t>Реализация мероприятий по устойчивому развитию сельских территорий</t>
  </si>
  <si>
    <t>Социальные выплаты гражданам, кроме публичных нормативных социальных выплат</t>
  </si>
  <si>
    <t>Мероприятия в сфере профилактики правонарушений</t>
  </si>
  <si>
    <t>Расходы на выплату персоналу казенных учреждений</t>
  </si>
  <si>
    <t>Мероприятия в сфере культуры и искусства</t>
  </si>
  <si>
    <t xml:space="preserve">Социальные выплаты гражданам, кроме публичных нормативных социальных выплат </t>
  </si>
  <si>
    <t>Мероприятия  на развитие архивного дела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</si>
  <si>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местных бюджетов</t>
  </si>
  <si>
    <t>Капитальные вложения в объекты государственной (муниципальной) собственности</t>
  </si>
  <si>
    <t>Бюджетные инвестиции</t>
  </si>
  <si>
    <t>Закупка товаров, работ и услуг для обеспечения государственных (муниципальных) нужд</t>
  </si>
  <si>
    <t>Предоставление субсидий бюджетным, автономным учреждениям и иным некоммерческим организациям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</si>
  <si>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</si>
  <si>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Иные бюджетные ассигнования</t>
  </si>
  <si>
    <t>Социальное обеспечение и иные выплаты населению</t>
  </si>
  <si>
    <t>03 3 01 80100</t>
  </si>
  <si>
    <t xml:space="preserve">Субсидии бюджетным учреждениям на  финансовое обеспечение государственного (муниципального) задания на оказание государственных (муниципальных) услуг (выполнение работ) 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</si>
  <si>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</si>
  <si>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учреждений)</t>
  </si>
  <si>
    <t>Субсидии (гранты в форме субсидий), не подлежащие казначейскому сопровождению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</si>
  <si>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</si>
  <si>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12 1 00 S6820</t>
  </si>
  <si>
    <t>Закупка энергетических ресурсов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</si>
  <si>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</si>
  <si>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03 2 00 S8330</t>
  </si>
  <si>
    <t>20 0 00 00000</t>
  </si>
  <si>
    <t>Прочая закупка товаров, работ и услуг</t>
  </si>
  <si>
    <t>05 4 00 00000</t>
  </si>
  <si>
    <t>12 1 00 S8240</t>
  </si>
  <si>
    <t>100</t>
  </si>
  <si>
    <t>110</t>
  </si>
  <si>
    <t>112</t>
  </si>
  <si>
    <t>19 0 F3 67483</t>
  </si>
  <si>
    <t>Бюджетные инвестиции в объекты капитального строительства государственной (муниципальной) собственности</t>
  </si>
  <si>
    <t>19 0 F3 67484</t>
  </si>
  <si>
    <t>200</t>
  </si>
  <si>
    <t>240</t>
  </si>
  <si>
    <t>04 0 00 00000</t>
  </si>
  <si>
    <t>Мероприятия в сфере охраны окружающей среды и обеспечения экологической безопасности населения</t>
  </si>
  <si>
    <t>02 0 00 00000</t>
  </si>
  <si>
    <t>2024 год</t>
  </si>
  <si>
    <t>03 2 00 L3042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</si>
  <si>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(для муниципальных общеобразовательных организаций)</t>
  </si>
  <si>
    <t>03 4 00 80450</t>
  </si>
  <si>
    <t>03 2 00 80450</t>
  </si>
  <si>
    <t>03 1 00 80450</t>
  </si>
  <si>
    <t>01 0 00 00000</t>
  </si>
  <si>
    <t>02 0 00 83210</t>
  </si>
  <si>
    <t>Капитальный ремонт, ремонт и содержание  автомобильных дорог (дорожный фонд Плесецкого муниципального округа)</t>
  </si>
  <si>
    <t>Муниципальная программа Плесецкого муниципального округа  «Борьба с борщевиком Сосновского»</t>
  </si>
  <si>
    <t>01 0 00 83680</t>
  </si>
  <si>
    <t>Мероприятия по повышению общего уровня благоустройства территории</t>
  </si>
  <si>
    <t>17 0 00 00000</t>
  </si>
  <si>
    <t>Муниципальная программа Плесецкого муниципального округа  «Формирование современной городской среды»</t>
  </si>
  <si>
    <t>Поддержка государственных программ  формирования современной городской среды</t>
  </si>
  <si>
    <t>Муниципальная программа Плесецкого муниципального округа  «Поддержка социально ориентированных некоммерческих организаций»</t>
  </si>
  <si>
    <t>22 0 00 00000</t>
  </si>
  <si>
    <t>Мероприятия по поддержке социально ориентированных некоммерческих организаций</t>
  </si>
  <si>
    <t>22 0 00 88410</t>
  </si>
  <si>
    <t>633</t>
  </si>
  <si>
    <t>II. НЕПРОГРАММНЫЕ НАПРАВЛЕНИЯ ДЕЯТЕЛЬНОСТИ</t>
  </si>
  <si>
    <t>ВСЕГО РАСХОДОВ</t>
  </si>
  <si>
    <t>Обеспечение функционирования Главы муниципального округа</t>
  </si>
  <si>
    <t>51 0 00 00000</t>
  </si>
  <si>
    <t xml:space="preserve">Обеспечение деятельности представительного органа муниципального округа </t>
  </si>
  <si>
    <t>52 0 00 00000</t>
  </si>
  <si>
    <t>Обеспечение деятельности контрольно-счетной комиссии</t>
  </si>
  <si>
    <t>53 0 00 00000</t>
  </si>
  <si>
    <t xml:space="preserve">Обеспечение деятельности исполнительных органов   муниципального округа </t>
  </si>
  <si>
    <t>54 0 00 00000</t>
  </si>
  <si>
    <t xml:space="preserve">Резервный фонд </t>
  </si>
  <si>
    <t>55 0 00 00000</t>
  </si>
  <si>
    <t>Непрограммные расходы в области мобилизационной и вневойсковой подготовки</t>
  </si>
  <si>
    <t>56 0 00  00000</t>
  </si>
  <si>
    <t>Реализация мероприятий в области управления муниципальной собственностью</t>
  </si>
  <si>
    <t>57 0 00  00000</t>
  </si>
  <si>
    <t>Доплаты к пенсиям, дополнительное пенсионное обеспечение</t>
  </si>
  <si>
    <t>58 0 00  00000</t>
  </si>
  <si>
    <t>Непрограммные расходы в области жилищно-коммунального хозяйства</t>
  </si>
  <si>
    <t>59 0 00 00000</t>
  </si>
  <si>
    <t>Непрограмные расходы в области социальной политики</t>
  </si>
  <si>
    <t>61 0 00 00000</t>
  </si>
  <si>
    <t>Материально-техническое и хозяйственное обеспечение органов местного самоуправления</t>
  </si>
  <si>
    <t>63 0 00 00000</t>
  </si>
  <si>
    <t>Прочие расходы органов местного самоуправления, связанных с общегосударственным управлением</t>
  </si>
  <si>
    <t>64 0 00 00000</t>
  </si>
  <si>
    <t>51 1 00 80010</t>
  </si>
  <si>
    <t xml:space="preserve">Фонд оплаты труда государственных (муниципальных) органов </t>
  </si>
  <si>
    <t>Председатель представительного органа муниципального образования</t>
  </si>
  <si>
    <t>52 1 00 00000</t>
  </si>
  <si>
    <t>52 1 00 80010</t>
  </si>
  <si>
    <t>Расходы на обеспечение деятельности аппарата представительного органа муниципального образования</t>
  </si>
  <si>
    <t>52 2 00 00000</t>
  </si>
  <si>
    <t>52 2 00 80010</t>
  </si>
  <si>
    <t>Иные выплаты персоналу государственных (муниципальных) органов, за исключением фонда оплаты труда</t>
  </si>
  <si>
    <t>Уплата налогов, сборов и иных платежей</t>
  </si>
  <si>
    <t>Расходы на обеспечение деятельности аппарата контрольно-счетной комиссии муниципального образования</t>
  </si>
  <si>
    <t>53 2 00 00000</t>
  </si>
  <si>
    <t>53 2 00 80010</t>
  </si>
  <si>
    <t>Председатель контрольно-счетной комиссии муниципального образования</t>
  </si>
  <si>
    <t>53 1 00 00000</t>
  </si>
  <si>
    <t>53 1 00 80010</t>
  </si>
  <si>
    <t>Расходы на обеспечение деятельности исполнительных органов местного самоуправления</t>
  </si>
  <si>
    <t>54 1 00 00000</t>
  </si>
  <si>
    <t>54 1 00 80010</t>
  </si>
  <si>
    <t xml:space="preserve">Иные бюджетные ассигнования </t>
  </si>
  <si>
    <t>Резервный фонд администрации муниципального образования</t>
  </si>
  <si>
    <t>55 0 00 81400</t>
  </si>
  <si>
    <t>Резервные средства</t>
  </si>
  <si>
    <t>870</t>
  </si>
  <si>
    <t>Оценка недвижимости, признание прав и регулирование отношений по муниципальной собственности</t>
  </si>
  <si>
    <t>57 0 00 81020</t>
  </si>
  <si>
    <t>Содержание имущества муниципальной казны</t>
  </si>
  <si>
    <t>57 0 00 81030</t>
  </si>
  <si>
    <t>Доплаты к пенсиям муниципальных  служащих и выборных должностных лиц</t>
  </si>
  <si>
    <t>58 0 00 87050</t>
  </si>
  <si>
    <t>Публичные нормативные социальные выплаты гражданам</t>
  </si>
  <si>
    <t>Иные пенсии, социальные доплаты к пенсиям</t>
  </si>
  <si>
    <t>Мероприятия в области жилищно-коммунального хозяйства</t>
  </si>
  <si>
    <t>59 0 00 83600</t>
  </si>
  <si>
    <t>Мероприятия по организации водоснабжения населения и водоотведения</t>
  </si>
  <si>
    <t>59 0 00 83610</t>
  </si>
  <si>
    <t>Исполнение судебных актов</t>
  </si>
  <si>
    <t>Исполнение судебных актов Российской Федерации и мировых соглашений по возмещению причиненного вреда</t>
  </si>
  <si>
    <t>Мероприятия по организации деятельности по сбору (в том числе раздельному сбору) и транспортированию твердых коммунальных отходов</t>
  </si>
  <si>
    <t>Мероприятия по организации ритуальных услуг и содержанию мест захоронения</t>
  </si>
  <si>
    <t>Прочие выплаты по обязательствам муниципального образования</t>
  </si>
  <si>
    <t>800</t>
  </si>
  <si>
    <t>830</t>
  </si>
  <si>
    <t>831</t>
  </si>
  <si>
    <t>Обеспечение деятельности в сфере опеки и попечительства</t>
  </si>
  <si>
    <t>61 3 00 00000</t>
  </si>
  <si>
    <t>Осуществление переданных органам местнго самоуправления муниципальных образований Архангельской области государственных полномочий Архангельской области по организации и осуществлению деятельности по опеке и попечительству</t>
  </si>
  <si>
    <t>300</t>
  </si>
  <si>
    <t>320</t>
  </si>
  <si>
    <t>Приобретение товаров, работ, услуг в пользу граждан в целях их социального обеспечения</t>
  </si>
  <si>
    <t>323</t>
  </si>
  <si>
    <t>Обеспечение жилыми помещениями  детей-сирот и детей, оставшихся без попечения родителей, лиц из их числа</t>
  </si>
  <si>
    <t>61 1 00 00000</t>
  </si>
  <si>
    <t>400</t>
  </si>
  <si>
    <t>410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</si>
  <si>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</si>
  <si>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</si>
  <si>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Обеспечение равной доступности услуг общественного транспорта для категорий граждан</t>
  </si>
  <si>
    <t>61 2 00 00000</t>
  </si>
  <si>
    <t>Субсидии юридическим лицам (кроме некомерческих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</si>
  <si>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</si>
  <si>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возмещение недополученных доходов или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</si>
  <si>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</si>
  <si>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Обслуживание муниципального долга</t>
  </si>
  <si>
    <t>Обслуживание государственного (муниципального) долга</t>
  </si>
  <si>
    <t>700</t>
  </si>
  <si>
    <t>730</t>
  </si>
  <si>
    <t>65 0 00 00000</t>
  </si>
  <si>
    <t>63 0 00 80100</t>
  </si>
  <si>
    <t xml:space="preserve">Фонд оплаты труда учреждений </t>
  </si>
  <si>
    <t>111</t>
  </si>
  <si>
    <t xml:space="preserve">Иные выплаты персоналу учреждений, за исключением фонда оплаты труда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</si>
  <si>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</si>
  <si>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</si>
  <si>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Иные закупки товаров, работ и услуг для обеспечения государственных (муниципальных) нужд</t>
  </si>
  <si>
    <t>247</t>
  </si>
  <si>
    <t>850</t>
  </si>
  <si>
    <t>Муниципальная программа Плесецкого муниципального округа «Развитие системы образования»</t>
  </si>
  <si>
    <t>Муниципальная программа Плесецкого муниципального округа «Охрана окружающей среды и обеспечение экологической безопасности населения»</t>
  </si>
  <si>
    <t>Муниципальная программа Плесецкого муниципального округа «Предупреждение и ликвидация последствий чрезвычайных ситуаций природного и техногенного характера, проявлений экстремизма и терроризма, реализация мер пожарной безопасности, безопасности на водных объектах и развитие гражданской обороны»</t>
  </si>
  <si>
    <t>Муниципальная программа Плесецкого муниципального округа  «Развитие физической культуры и спорта и повышение эффективности реализации молодежной политики»</t>
  </si>
  <si>
    <t>Муниципальная программа Плесецкого муниципального округа  «Развитие территориального общественного самоуправления»</t>
  </si>
  <si>
    <t>Муниципальная программа Плесецкого муниципального округа  «Развитие общественного пассажирского транспорта»</t>
  </si>
  <si>
    <t>Муниципальная программа Плесецкого муниципального округа  «Развитие малого и среднего предпринимательства»</t>
  </si>
  <si>
    <t>Муниципальная программа Плесецкого муниципального округа  «Комплексное развитие сельских территорий»</t>
  </si>
  <si>
    <t>Муниципальная программа Плесецкого муниципального округа  «Профилактика правонарушений, коррупции и незаконного потребления наркотических средств и психотропных веществ, реабилитации и ресоциализации потребителей наркотических средств и психотропных веществ»</t>
  </si>
  <si>
    <t xml:space="preserve">Муниципальная программа Плесецкого муниципального округа  «Развитие сферы культуры»  </t>
  </si>
  <si>
    <t>Муниципальная программа Плесецкого муниципального округа  «Обеспечение жильем молодых семей»</t>
  </si>
  <si>
    <t>Муниципальная программа Плесецкого муниципального округа  «Развитие архивного дела»</t>
  </si>
  <si>
    <t>Муниципальная программа Плесецкого муниципального округа  «Снос аварийного жилищного фонда»</t>
  </si>
  <si>
    <t>06 2 00 S8530</t>
  </si>
  <si>
    <t>Мероприятия по реализации молодежной политики в муниципальных образованиях</t>
  </si>
  <si>
    <t>Подпрограмма № 1 "Создание условий для обеспечения доступным и комфортным жильём сельского населения"</t>
  </si>
  <si>
    <t>10 1 00 00000</t>
  </si>
  <si>
    <t xml:space="preserve">Субсидии гражданам на приобретение жилья </t>
  </si>
  <si>
    <t>600</t>
  </si>
  <si>
    <t>Укрепление материально-технической базы пищеблоков и столовых муниципальных общеобразовательных организаций Архангельской области в целях создания условий для организации горячего питания обучающихся, получающих начальное общее образование</t>
  </si>
  <si>
    <t>Обеспечение условий для развития кадрового потенциала муниципальных образовательных организациях Архангельской области</t>
  </si>
  <si>
    <t>Мероприятия в рамках Федерального проекта "Успех каждого ребенка"</t>
  </si>
  <si>
    <t>03 2 00 S6560</t>
  </si>
  <si>
    <t>03 2 00 S6980</t>
  </si>
  <si>
    <t>03 2 Е2 00000</t>
  </si>
  <si>
    <t>03 3 01 00000</t>
  </si>
  <si>
    <t>Подпрограмма №1 "Противодействие экстремизму и профилактика терроризма"</t>
  </si>
  <si>
    <t>Подпрограмма №2 "Противопожарная безопасность и защита населения от чрезвычайных ситуаций "</t>
  </si>
  <si>
    <t>Подпрограмма №3 "Развитие гражданской обороны"</t>
  </si>
  <si>
    <t>Подпрограмма №4 "Обеспечение безопасности и охраны жизни людей на водных объектах".</t>
  </si>
  <si>
    <t>Подпрограмма "Развитие физической культуры и спорта "</t>
  </si>
  <si>
    <t>Подпрограмма "Молодежь Плесецкого муниципального округа"</t>
  </si>
  <si>
    <t>Подпрограмма "Организация досуга населения"</t>
  </si>
  <si>
    <t>Подпрограмма "Библиотечное обслуживание населения"</t>
  </si>
  <si>
    <t>14 0 00 00000</t>
  </si>
  <si>
    <t>Муниципальная программа Плесецкого муниципального округа  «Профилактика безнадзорности и правонарушений несовершеннолетних и защита их прав»</t>
  </si>
  <si>
    <t>14 0 00 80500</t>
  </si>
  <si>
    <t>Муниципальная программа Плесецкого муниципального округа  «Улучшение условий и охраны труда»</t>
  </si>
  <si>
    <t>Мероприятия в сфере патриотического воспитания граждан и государственной молодежной политики</t>
  </si>
  <si>
    <t>15 0 00 80420</t>
  </si>
  <si>
    <t>15 0 00 00000</t>
  </si>
  <si>
    <t>Софинансирование капитальных вложений в объекты муниципальной собственности муниципальных образований Архангельской области</t>
  </si>
  <si>
    <t>04 0 00 80740</t>
  </si>
  <si>
    <t>04 0 00 83620</t>
  </si>
  <si>
    <t>Мероприятия по организации уличного освещения</t>
  </si>
  <si>
    <t>04 0 00 83630</t>
  </si>
  <si>
    <t>Мероприятия по повышению общего уровня благоустройства территорий</t>
  </si>
  <si>
    <t>04 0 00 83680</t>
  </si>
  <si>
    <t>04 0 00 83670</t>
  </si>
  <si>
    <t>12 2 00 80100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</si>
  <si>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</si>
  <si>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12 2 00 L4670</t>
  </si>
  <si>
    <t>12 2 00 S8240</t>
  </si>
  <si>
    <t>12 4 00 00000</t>
  </si>
  <si>
    <t>12 4 00 80540</t>
  </si>
  <si>
    <t>Мероприятия в области социальной политики, осуществляемые муниципальными органами</t>
  </si>
  <si>
    <t>Подпрограмма "Совершенствование  системы предоставления услуг в сфере культуры и туризма  "</t>
  </si>
  <si>
    <t>18 0 00 00000</t>
  </si>
  <si>
    <t>Разработка проектно-сметной документации для строительства и реконструкции (модернизации) объектов питьевого водоснабжения</t>
  </si>
  <si>
    <t>18 0 00 S6640</t>
  </si>
  <si>
    <t>Подпрограмма №1 "Профилактика правонарушений на территории Плесецкого муниципального округа"</t>
  </si>
  <si>
    <t>11 1 00 00000</t>
  </si>
  <si>
    <t>11 1 00 80500</t>
  </si>
  <si>
    <t>Муниципальная программа Плесецкого муниципального округа "Переселение граждан из аварийного жилищного фонда на 2020-2025 годы"</t>
  </si>
  <si>
    <t xml:space="preserve">Муниципальная программа Плесецкого муниципального округа «Повышение безопасности дорожного движения и формирование законопослушного поведения участников дорожного движения» 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</si>
  <si>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</si>
  <si>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Мероприятия по землеустройству и землепользованию</t>
  </si>
  <si>
    <t>Взносы на капитальный ремонт по муниципальному жилищному фонду</t>
  </si>
  <si>
    <t>59 0 00 83640</t>
  </si>
  <si>
    <t>Прочие расходы по муниципальному жилищному фонду</t>
  </si>
  <si>
    <t>59 0 00 83650</t>
  </si>
  <si>
    <t>59 0 00 83690</t>
  </si>
  <si>
    <t>Уплата членского взноса в ассоциацию "Совет муниципальных образований Архангельской области"</t>
  </si>
  <si>
    <t>64 0 00 81120</t>
  </si>
  <si>
    <t>Непрограммные расходы в области национальной безопасности и правоохранительной деятельности</t>
  </si>
  <si>
    <t>Обеспечение функционирования единой диспетчерской службы для обеспечения вызова экстренных оперативных служб по единому номеру</t>
  </si>
  <si>
    <t>65 1 00 00000</t>
  </si>
  <si>
    <t>65 1 00 80100</t>
  </si>
  <si>
    <t>Условно утвержденные расходы</t>
  </si>
  <si>
    <t>Сумма, рублей</t>
  </si>
  <si>
    <t>Публичные нормативные выплаты гражданам несоциального характера</t>
  </si>
  <si>
    <t>64 0 00 81140</t>
  </si>
  <si>
    <t>330</t>
  </si>
  <si>
    <t>Создание новых мест в общеобразовательных организациях, расположенных в сельской местности и поселках городского типа</t>
  </si>
  <si>
    <t>03 2 Е1 00000</t>
  </si>
  <si>
    <t>322</t>
  </si>
  <si>
    <t>59 0 00 83661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</si>
  <si>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</si>
  <si>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19 0 00 80310</t>
  </si>
  <si>
    <t>Мероприятия в рамках федерального проекта "Обеспечение устойчивого сокращения непригодного для проживания жилищного фонда"</t>
  </si>
  <si>
    <t>19 0 F3 00000</t>
  </si>
  <si>
    <t>Мероприятия в рамках Федерального проекта "Чистая вода"</t>
  </si>
  <si>
    <t>Строительство и реконструкция (модернизация) объектов питьевого водоснабжения</t>
  </si>
  <si>
    <t>18 0 F5 00000</t>
  </si>
  <si>
    <t>18 0 00 83610</t>
  </si>
  <si>
    <t>Муниципальная программа Плесецкого муниципального округа "Чистая вода"</t>
  </si>
  <si>
    <t>17 0 00 83680</t>
  </si>
  <si>
    <t>Муниципальная программа Плесецкого муниципального округа  «Управление муниципальными финансами и муниципальным долгом»</t>
  </si>
  <si>
    <t>24 0 00 00000</t>
  </si>
  <si>
    <t>06 2 00 L2990</t>
  </si>
  <si>
    <t>Государственная поддержка отрасли культуры (реализация мероприятий по модернизации библиотек в части комплектования книжных фондов муниципальных библиотек)</t>
  </si>
  <si>
    <t>12 1 00 L5198</t>
  </si>
  <si>
    <t>Муниципальная программа Плесецкого муниципального округа "Проведение комплексных кадастровых работ"</t>
  </si>
  <si>
    <t>25 0 00 00000</t>
  </si>
  <si>
    <t>25 0 00 82040</t>
  </si>
  <si>
    <t xml:space="preserve">25 0 00 82040 </t>
  </si>
  <si>
    <t>24 2 00 81750</t>
  </si>
  <si>
    <t>Подпрограмма №2«Управление муниципальным долгом Плесецкого муниципального округа»</t>
  </si>
  <si>
    <t>24 2 00 00000</t>
  </si>
  <si>
    <t>Подпрограмма №1"Организация и обеспечение бюджетного процесса в Плесецком муниципальном округе"</t>
  </si>
  <si>
    <t>24 1 00 00000</t>
  </si>
  <si>
    <t>24 1 00 80010</t>
  </si>
  <si>
    <t>24 1 00 80020</t>
  </si>
  <si>
    <t>02 0 00 Э8160</t>
  </si>
  <si>
    <t>03 1 00 Л8390</t>
  </si>
  <si>
    <t>03 1 00 Л8620</t>
  </si>
  <si>
    <t>Субвенции бюджетам муниципальных районов, муниципальных округов и городских округов Архангельской области на реализацию образовательных программ</t>
  </si>
  <si>
    <t>03 1 00 Л8650</t>
  </si>
  <si>
    <t>03 2 00 Л8390</t>
  </si>
  <si>
    <t>03 2 00 Л8620</t>
  </si>
  <si>
    <t>Укрепление материально-технической базы и развитие противопожарной инфраструктуры в муниципальных образовательных организациях муниципальных образований Архангельской области</t>
  </si>
  <si>
    <t>03 2 00 S6960</t>
  </si>
  <si>
    <t>610</t>
  </si>
  <si>
    <t>612</t>
  </si>
  <si>
    <t>03 2 Е2 50970</t>
  </si>
  <si>
    <t>03 3 00 Л8390</t>
  </si>
  <si>
    <t>03 3 00 Л8620</t>
  </si>
  <si>
    <t>03 3 01 Л8620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</si>
  <si>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</si>
  <si>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54 1 00 Л8790</t>
  </si>
  <si>
    <t>54 1 00 Л8791</t>
  </si>
  <si>
    <t>54 1 00 Л8793</t>
  </si>
  <si>
    <t>56 0 00 51181</t>
  </si>
  <si>
    <t>59 0 00 Э8160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</si>
  <si>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</si>
  <si>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</si>
  <si>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</si>
  <si>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>03 5 00 Л8320</t>
  </si>
  <si>
    <t>04 0 00 Э8160</t>
  </si>
  <si>
    <t>05 2 00 Э8160</t>
  </si>
  <si>
    <t>07 0 00 Э8160</t>
  </si>
  <si>
    <t>Организация транспортного обслуживания населения на пассажирских муниципальных маршрутах автомобильного транспорта</t>
  </si>
  <si>
    <t>08 0 00 S6360</t>
  </si>
  <si>
    <t>Закупка товаров, работ, услуг в целях капитального
ремонта государственного (муниципального) имущества</t>
  </si>
  <si>
    <t>243</t>
  </si>
  <si>
    <t>Возмещение индивидуальному предпринимателю  Минту Алексею Петровичу убытков, возникающих в результате регулирования тарифов на перевозку пассажиров по технологической узкоколейной железной дороге «Липаково-Лужма-Сеза»</t>
  </si>
  <si>
    <t>Возмещение индивидуальному предпринимателю  Заволожину Сергею Дмитриевичу фактически понесенных затрат на обеспечение бесплатного проезда в автомобильном транспорте общего пользования по городскому муниципальному маршруту гражданам, проживающим на территории Плесецкого муниципального округа и достигшим возраста 75 лет и старше, не относящимся к отдельным категориям граждан, установленным статьями 2 и 4 Федерального закона от 12.01.1995 № 5-ФЗ «О ветеранах» в 2024 году</t>
  </si>
  <si>
    <t>08 0 00 83051</t>
  </si>
  <si>
    <t>08 0 00 83052</t>
  </si>
  <si>
    <t>09 0  00 Л8700</t>
  </si>
  <si>
    <t>61 1 00 R0821</t>
  </si>
  <si>
    <t>61 1 00 Л8770</t>
  </si>
  <si>
    <t>61 1 00 Л8771</t>
  </si>
  <si>
    <t>61 2 00 Э8910</t>
  </si>
  <si>
    <t>61 3 00 Л8790</t>
  </si>
  <si>
    <t>61 3 00 Л8792</t>
  </si>
  <si>
    <t>61 3 00 Л8730</t>
  </si>
  <si>
    <t>Выплаты гражданам в соответствии с решением Собрания депутатов Плесецкого муниципального округа Архангельской области от 15.11.2022 года №-122 "Об утверждении Положения о Почетном гражданине Плесецкого муниципального округа Архангельской области, Положения о порядке присвоения звания "Почетный гражданин Плесецкого муниципального округа Архангельской области" и Положения о знаках отличия к званию "Почетный гражданин Плесецкого муниципального округа Архангельской области" (в части исполнения публичных нормативных обязательств)</t>
  </si>
  <si>
    <t>Проведение выборов в Собрание депутатов Плесецкого муниципального округа Архангельской области</t>
  </si>
  <si>
    <t>Специальные расходы</t>
  </si>
  <si>
    <t>64 0 00 81160</t>
  </si>
  <si>
    <t>59 0 00 80310</t>
  </si>
  <si>
    <t>414</t>
  </si>
  <si>
    <t>12 200 S0310</t>
  </si>
  <si>
    <t>15 0 00 Л8710</t>
  </si>
  <si>
    <t>16 0 00 80100</t>
  </si>
  <si>
    <t>Проведение комплексных кадастровых работ (без федерального софинансирования)</t>
  </si>
  <si>
    <t>25 0 00 S8400</t>
  </si>
  <si>
    <t>20 0 00 Э8160</t>
  </si>
  <si>
    <t xml:space="preserve">I. МУНИЦИПАЛЬНЫЕ ПРОГРАММЫ 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</si>
  <si>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</si>
  <si>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</si>
  <si>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</si>
  <si>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</si>
  <si>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Зарезервированные средства на дорожную деятельность</t>
  </si>
  <si>
    <t>02 0 00 83290</t>
  </si>
  <si>
    <t>Реализация мероприятий по социально-экономическому развитию</t>
  </si>
  <si>
    <t>Реализация федеральной целевой программы "Увековечение памяти погибших при защите Отечества на 2019-2024 годы"</t>
  </si>
  <si>
    <t>Осуществление государственных полномочий по формированию торгового реестра</t>
  </si>
  <si>
    <t>Осуществление государственных полномочий в сфере охраны труда</t>
  </si>
  <si>
    <t>Обеспечение мероприятий по переселению граждан из аварийного жилищного фонда за счет средств, поступивших от публично-правовой компании "Фонд развития территорий"</t>
  </si>
  <si>
    <t>Обеспечение мероприятий по переселению граждан из аварийного жилищного фонда за счет средств бюджетов субъектов Российской Федерации</t>
  </si>
  <si>
    <t xml:space="preserve">Единая субвенция 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</si>
  <si>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</t>
  </si>
  <si>
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созданию комиссий по делам несовершеннолетних и защите их прав</t>
  </si>
  <si>
    <t>54 1 00 51201</t>
  </si>
  <si>
    <t>Осуществление первичного воинского учета органами местного самоуправления поселений, муниципальных и городских округов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</si>
  <si>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«О ветеранах»</t>
  </si>
  <si>
    <t>Единая субвенция</t>
  </si>
  <si>
    <t>Осуществление государственных полномочий по выплате вознаграждений профессиональным опекунам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</si>
  <si>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</si>
  <si>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Предоставление государственных жилищных сертификатов детям-сиротам и детям, оставшимся без попечения родителей, лицам из их числа на приобретение жилых помещений в Архангельской области</t>
  </si>
  <si>
    <t>Реализация инициативных проектов в рамках регионального проекта "Комфортное Поморье"</t>
  </si>
  <si>
    <t>Развитие инициативных проектов в рамках регионального проекта "Комфортное Поморье"</t>
  </si>
  <si>
    <t>67 0 00 00000</t>
  </si>
  <si>
    <t>67 0 00 S8890</t>
  </si>
  <si>
    <t>03 2 Е1 52301</t>
  </si>
  <si>
    <t>03 2 Е1 S2301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</si>
  <si>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</si>
  <si>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54 1 00 Л8690</t>
  </si>
  <si>
    <t xml:space="preserve">Софинансирование к иным межбюджетным трансфертам на развитие  инициативных проектов </t>
  </si>
  <si>
    <t>67 0 00 88890</t>
  </si>
  <si>
    <t>59 0 00 83659</t>
  </si>
  <si>
    <t>Реализация мероприятий по социально-экономическому развитию муниципальных округов</t>
  </si>
  <si>
    <t>03 1 00 Э8160</t>
  </si>
  <si>
    <t>03 2 00 R3032</t>
  </si>
  <si>
    <t>Реализация мероприятий по модернизации школьных систем образования (вне рамок регионального проекта "Модернизация школьных систем образования в Архангельской области")</t>
  </si>
  <si>
    <t>03 2 00 Э4700</t>
  </si>
  <si>
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</si>
  <si>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03 2 00 80981</t>
  </si>
  <si>
    <t>03 2 E2 50981</t>
  </si>
  <si>
    <t>03 2 EВ 00000</t>
  </si>
  <si>
    <t>03 2 EВ 51792</t>
  </si>
  <si>
    <t>Мероприятия в рамках Федерального проекта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</si>
  <si>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(для муниципальных общеобразовательных организаций)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</si>
  <si>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</si>
  <si>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03 3 E2 00000</t>
  </si>
  <si>
    <t>03 3 E2 51712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</si>
  <si>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организациях.</t>
  </si>
  <si>
    <t>03 5 00 R4941</t>
  </si>
  <si>
    <t>Реализация мероприятий, направленных на создание современной инфраструктуры для детей и их оздоровления путем возведения некапитальных строений, сооружений (быстровозводимых конструкций), а также при проведении капитального ремонта объектов инфраструктуры организация отдыха детей и их оздоровления</t>
  </si>
  <si>
    <t>03 1 00 Э4660</t>
  </si>
  <si>
    <t>Обеспечение мероприятий по организации предоставления дополнительных мер социальной поддержки семьям граждан принимающих (принимавших) участие в специальной военной операции,в виде бесплатного горячего питания обучающихся по образовательным программам основного общего и среднего общего образования в муниципальных общеобразовательных организациях, бесплатного посещения обучающимися занятий по дополнительным общеобразовательным программам, реализуемым на платной основе муниципальными образовательными организациями, а также бесплатного присмотра за детьми, посещающими муниципальные организации, реализующие программы дошкольного образования, или группы продленного дня в общеобразовательных организациях</t>
  </si>
  <si>
    <t>03 2 00 Э4660</t>
  </si>
  <si>
    <t>Субсидии бюджетным учреждения</t>
  </si>
  <si>
    <t>60 0 00 00000</t>
  </si>
  <si>
    <t>60 0 00 80020</t>
  </si>
  <si>
    <t>Расходы на исполнение судебных актов по обращению взыскания на средства  бюджета муниципального образования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</si>
  <si>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</si>
  <si>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>08 0 00 S9170</t>
  </si>
  <si>
    <t>Мероприятия в сфере общественного пассажирского транспорта и транспортной инфраструктуры (содержание и ремонт железнодорожного пути технологической узкоколейной железной дороги "Липаково-Лужма-Сеза")</t>
  </si>
  <si>
    <t>18 0 F5 52431</t>
  </si>
  <si>
    <t>59 0 00 97040</t>
  </si>
  <si>
    <t>Расходы на модернизацию (строительство) котельных на твердом биотопливе, источником финансового обеспечения которых является специальный казначейский кредит</t>
  </si>
  <si>
    <t>13 0 00 L4971</t>
  </si>
  <si>
    <t>59 0 00 83693</t>
  </si>
  <si>
    <t>59 0 00 83692</t>
  </si>
  <si>
    <t>Возмещение убытков ООО "Трест Техносервис", связанных с оказанием банных услуг на территории пос.Обозерский по тарифам, не обеспечивающим возмещение издержек</t>
  </si>
  <si>
    <t>Возмещение убытков МУП "Плесецк-Ресурс", связанных с оказанием банных услуг на территории пос.Плесецк по тарифам, не обеспечивающим возмещение издержек</t>
  </si>
  <si>
    <t>17 0 00 Э4950</t>
  </si>
  <si>
    <t>Мероприятия по проведению информационного освещения всероссийского онлайн-голосования по выбору общественных территорий, планируемых к благоустройству на территории Архангельской области</t>
  </si>
  <si>
    <t>17 0 F2 00000</t>
  </si>
  <si>
    <t>17 0 F2 55551</t>
  </si>
  <si>
    <t>Мероприятия в рамках регионального проекта "Формирование комфортной городской среды в Архангельской области"</t>
  </si>
  <si>
    <t>10 1 00L576Л</t>
  </si>
  <si>
    <t>13 0 00 L4970</t>
  </si>
  <si>
    <t>Реализация мероприятий по обеспечению жильем молодых семей</t>
  </si>
  <si>
    <t>Обеспечение детей-сирот и детей, оставшихся без попечения родителей, жилыми помещениями</t>
  </si>
  <si>
    <t>06 1 00 S8080</t>
  </si>
  <si>
    <t xml:space="preserve">Обустройство и модернизация плоскостных спортивных соооружений </t>
  </si>
  <si>
    <t>55 0 00 71400</t>
  </si>
  <si>
    <t>Резервный фонд Правительства Архангельской области</t>
  </si>
  <si>
    <t>Комплектование книжных фондов библиотек муниципальных образований Архангельской области и подписка на периодическую печать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</si>
  <si>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 на территории Архангельской области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</si>
  <si>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 на территории Архангельской области на территории Архангельской области</t>
  </si>
  <si>
    <t>Бюджетные инвестиции в объекты капитального строительства собственности муниципальных образований</t>
  </si>
  <si>
    <t>Прочие расходы в области коммунального хозяйства</t>
  </si>
  <si>
    <t>03 1 00 S6960</t>
  </si>
  <si>
    <t>03 2 00 Э6852</t>
  </si>
  <si>
    <t>Реализация мероприятий по антитеррористической защищенности муниципальных образовательных организаций в Архангельской области (вне рамок регионального проекта "Модернизация школьных систем образования в Архангельской области" учреждениям общего образования)</t>
  </si>
  <si>
    <t>03 3 00 S6960</t>
  </si>
  <si>
    <t>Организация и содержание мест захоронения</t>
  </si>
  <si>
    <t>04 0 00 10840</t>
  </si>
  <si>
    <t>68 0 00 00000</t>
  </si>
  <si>
    <t>Сохранение объектов культурного наследия</t>
  </si>
  <si>
    <t>Мероприятия по сохранению объекта культурного наследия регионального значения "Мост на реке Кене"</t>
  </si>
  <si>
    <t>68 0 00 80410</t>
  </si>
  <si>
    <t>Затраты на обследование жилищного фонда на признание многоквартирных домов аварийными и подлежащими сносу или реконструкции</t>
  </si>
  <si>
    <t>Возмещение убытков МУП "Плесецк-Ресурс", связанных с оказанием банных услуг на территории пос.Североонежск, по тарифам, не обеспечивающим возмещение издержек</t>
  </si>
  <si>
    <t>59 0 00 83694</t>
  </si>
  <si>
    <t xml:space="preserve">Закупка энергетических ресурсов </t>
  </si>
  <si>
    <t>06 2 00 S6910</t>
  </si>
  <si>
    <t>Реализация мероприятий по содействию трудоустройству несовершеннолетних граждан на территории Архангельской области</t>
  </si>
  <si>
    <t>06 2 00 S4420</t>
  </si>
  <si>
    <t>Ремонт, реконструкция, благоустройство и установка памятников, обелисков, мемориалов, памятных досок</t>
  </si>
  <si>
    <t>05 4 00 Э8160</t>
  </si>
  <si>
    <t>Закупка товаров, работ и услуг в целях капитального ремонта государственного (муниципального) имущества</t>
  </si>
  <si>
    <t>Приобретение и установка автономных дымовых пожарных извещателей</t>
  </si>
  <si>
    <t>05 2 00 S6870</t>
  </si>
  <si>
    <t xml:space="preserve">Исполнение судебных актов </t>
  </si>
  <si>
    <t>Развитие территориального общественного самоуправления в Архангельской области</t>
  </si>
  <si>
    <t>25 0 00 L5111</t>
  </si>
  <si>
    <t>Проведение комплексных кадастровых работ</t>
  </si>
  <si>
    <t>Софинансирование на противоаварийные мероприятия и ремонтно-восстановительные работы по проведению ремонта жилищного фонда</t>
  </si>
  <si>
    <t>17 0 00 Э8840</t>
  </si>
  <si>
    <t>Благоустройство территорий и приобретение уборочной и коммунальной техники</t>
  </si>
  <si>
    <t>03 2 00 R7502</t>
  </si>
  <si>
    <t>Реализация мероприятий по модернизации школьных систем образования (иные межбюджетные трансферты бюджетам муниципальных районов, муниципальных округов и городских округов Архангельской области)</t>
  </si>
  <si>
    <t>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(гранта) из федерального бюджета</t>
  </si>
  <si>
    <t>54 1 00 Э4790</t>
  </si>
  <si>
    <t>Развитие инициативных проектов в рамках регионального проекта "Комфортное Поморье"ого бюджета)</t>
  </si>
  <si>
    <t>67 0 00 Э8890</t>
  </si>
  <si>
    <t>59 0 00 83662</t>
  </si>
  <si>
    <t>Расходы на проведение независимой оценки стоимости имущества, для целей выплаты возмещения гражданам за принадлежащие им жилые помещения при изъятии земельных участков, на которых расположены аварийные дома, признанные аварийными, в которых находятся жилые помещения</t>
  </si>
  <si>
    <t>Целевая статья</t>
  </si>
  <si>
    <t>08 0 00 83053</t>
  </si>
  <si>
    <t>Возмещение МУП "АТП "Плесецкое" фактически понесенных затрат на обеспечение бесплатного проезда в автомобильном транспорте общего пользования по городскому муниципальному маршруту гражданам, проживающим на территории Плесецкого муниципального округа и достигшим возраста 75 лет и старше, не относящимся к отдельным категориям граждан, установленным статьями 2 и 4 Федерального закона от 12.01.1995 №5-ФЗ "О ветеранах" в 2024 году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</si>
  <si>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</si>
  <si>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03 2 00 L0502</t>
  </si>
  <si>
    <t>12 1 00 Э8160</t>
  </si>
  <si>
    <t>03 2 00 S0310</t>
  </si>
  <si>
    <t>Мероприятия по повышению общего уровня благоустройства дворовых территорий</t>
  </si>
  <si>
    <t>12 4 00 80010</t>
  </si>
  <si>
    <t>03 2 00 82301</t>
  </si>
  <si>
    <t>Создание новых мест в общеобразовательных организациях, расположенных в сельской местности и поселках городского типа(местный бюджет)</t>
  </si>
  <si>
    <t>02 0 00 83300</t>
  </si>
  <si>
    <t>Мероприятия в области дорожного хозяйства</t>
  </si>
  <si>
    <t>Отчет об исполнении бюджета Плесецкого муниципального округа</t>
  </si>
  <si>
    <t>по бюджетным ассигнованиям на реализацию муниципальных программ</t>
  </si>
  <si>
    <t xml:space="preserve">муниципального округа за 2024 год </t>
  </si>
  <si>
    <t xml:space="preserve">   Приложение № 5</t>
  </si>
  <si>
    <t xml:space="preserve">        к решению Собрания депутатов </t>
  </si>
  <si>
    <t xml:space="preserve">       Плесецкого муниципального округа </t>
  </si>
  <si>
    <t>Архангельской области</t>
  </si>
  <si>
    <t>03 3 00 Э8160</t>
  </si>
  <si>
    <t>17 0 00 85551</t>
  </si>
  <si>
    <t xml:space="preserve">         от  18 июня 2025 года  № 266 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</si>
</sst>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_(* #,##0.0_);_(* \(#,##0.0\);_(* &quot;-&quot;??_);_(@_)"/>
    <numFmt numFmtId="166" formatCode="_(* #,##0_);_(* \(#,##0\);_(* &quot;-&quot;??_);_(@_)"/>
    <numFmt numFmtId="167" formatCode="_(* #,##0.00_);_(* \(#,##0.00\);_(* &quot;-&quot;??_);_(@_)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 Cyr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 Cyr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"/>
      <name val="Arial"/>
      <family val="2"/>
      <charset val="204"/>
    </font>
    <font>
      <sz val="10"/>
      <name val="Times New Roman Cy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 Cyr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1" fillId="0" borderId="0" applyFont="0" applyFill="0" applyBorder="0" applyAlignment="0" applyProtection="0"/>
  </cellStyleXfs>
  <cellXfs count="180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4" fontId="5" fillId="2" borderId="10" xfId="2" applyFont="1" applyFill="1" applyBorder="1" applyAlignment="1">
      <alignment vertical="center"/>
    </xf>
    <xf numFmtId="0" fontId="5" fillId="2" borderId="0" xfId="1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49" fontId="5" fillId="2" borderId="0" xfId="1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49" fontId="5" fillId="2" borderId="0" xfId="1" applyNumberFormat="1" applyFont="1" applyFill="1" applyAlignment="1">
      <alignment horizontal="right" vertical="center" wrapText="1"/>
    </xf>
    <xf numFmtId="0" fontId="5" fillId="2" borderId="0" xfId="0" applyFont="1" applyFill="1" applyAlignment="1">
      <alignment horizontal="center" vertical="center"/>
    </xf>
    <xf numFmtId="164" fontId="5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164" fontId="8" fillId="2" borderId="1" xfId="2" applyFont="1" applyFill="1" applyBorder="1" applyAlignment="1">
      <alignment vertical="center"/>
    </xf>
    <xf numFmtId="0" fontId="9" fillId="2" borderId="6" xfId="0" applyFont="1" applyFill="1" applyBorder="1" applyAlignment="1">
      <alignment horizontal="left" vertical="center" wrapText="1"/>
    </xf>
    <xf numFmtId="165" fontId="9" fillId="2" borderId="1" xfId="2" applyNumberFormat="1" applyFont="1" applyFill="1" applyBorder="1" applyAlignment="1">
      <alignment horizontal="center" vertical="center"/>
    </xf>
    <xf numFmtId="165" fontId="6" fillId="2" borderId="1" xfId="2" applyNumberFormat="1" applyFont="1" applyFill="1" applyBorder="1" applyAlignment="1">
      <alignment horizontal="center" vertical="center"/>
    </xf>
    <xf numFmtId="164" fontId="9" fillId="2" borderId="1" xfId="2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justify"/>
    </xf>
    <xf numFmtId="49" fontId="5" fillId="2" borderId="4" xfId="0" applyNumberFormat="1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center"/>
    </xf>
    <xf numFmtId="0" fontId="5" fillId="2" borderId="0" xfId="0" applyFont="1" applyFill="1"/>
    <xf numFmtId="0" fontId="5" fillId="2" borderId="2" xfId="0" applyFont="1" applyFill="1" applyBorder="1" applyAlignment="1">
      <alignment horizontal="justify"/>
    </xf>
    <xf numFmtId="49" fontId="5" fillId="2" borderId="1" xfId="0" applyNumberFormat="1" applyFont="1" applyFill="1" applyBorder="1" applyAlignment="1">
      <alignment horizontal="center" vertical="center"/>
    </xf>
    <xf numFmtId="167" fontId="5" fillId="2" borderId="10" xfId="2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justify" vertical="center" wrapText="1"/>
    </xf>
    <xf numFmtId="49" fontId="5" fillId="2" borderId="7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justify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vertical="center" wrapText="1"/>
    </xf>
    <xf numFmtId="165" fontId="8" fillId="2" borderId="1" xfId="2" applyNumberFormat="1" applyFont="1" applyFill="1" applyBorder="1" applyAlignment="1">
      <alignment horizontal="center" vertical="center"/>
    </xf>
    <xf numFmtId="166" fontId="8" fillId="2" borderId="1" xfId="2" quotePrefix="1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5" fillId="2" borderId="5" xfId="0" applyNumberFormat="1" applyFont="1" applyFill="1" applyBorder="1" applyAlignment="1">
      <alignment vertical="center" wrapText="1"/>
    </xf>
    <xf numFmtId="165" fontId="5" fillId="2" borderId="1" xfId="2" applyNumberFormat="1" applyFont="1" applyFill="1" applyBorder="1" applyAlignment="1">
      <alignment horizontal="center" vertical="center"/>
    </xf>
    <xf numFmtId="166" fontId="5" fillId="2" borderId="1" xfId="2" quotePrefix="1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justify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justify" vertical="center"/>
    </xf>
    <xf numFmtId="49" fontId="5" fillId="2" borderId="8" xfId="0" applyNumberFormat="1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justify" vertical="center"/>
    </xf>
    <xf numFmtId="0" fontId="4" fillId="2" borderId="1" xfId="0" quotePrefix="1" applyFont="1" applyFill="1" applyBorder="1" applyAlignment="1">
      <alignment horizontal="center"/>
    </xf>
    <xf numFmtId="0" fontId="4" fillId="2" borderId="5" xfId="0" applyFont="1" applyFill="1" applyBorder="1" applyAlignment="1">
      <alignment horizontal="justify"/>
    </xf>
    <xf numFmtId="0" fontId="4" fillId="2" borderId="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justify" wrapText="1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2" quotePrefix="1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165" fontId="5" fillId="2" borderId="7" xfId="2" applyNumberFormat="1" applyFont="1" applyFill="1" applyBorder="1" applyAlignment="1">
      <alignment horizontal="center" vertical="center"/>
    </xf>
    <xf numFmtId="0" fontId="5" fillId="2" borderId="2" xfId="2" quotePrefix="1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justify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quotePrefix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justify"/>
    </xf>
    <xf numFmtId="167" fontId="5" fillId="2" borderId="1" xfId="2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center"/>
    </xf>
    <xf numFmtId="0" fontId="16" fillId="2" borderId="2" xfId="0" applyFont="1" applyFill="1" applyBorder="1" applyAlignment="1">
      <alignment horizontal="justify" vertical="center"/>
    </xf>
    <xf numFmtId="0" fontId="5" fillId="2" borderId="1" xfId="0" applyFont="1" applyFill="1" applyBorder="1" applyAlignment="1">
      <alignment horizontal="center"/>
    </xf>
    <xf numFmtId="0" fontId="5" fillId="2" borderId="1" xfId="0" quotePrefix="1" applyFont="1" applyFill="1" applyBorder="1" applyAlignment="1">
      <alignment horizontal="center"/>
    </xf>
    <xf numFmtId="0" fontId="5" fillId="2" borderId="2" xfId="0" applyFont="1" applyFill="1" applyBorder="1" applyAlignment="1">
      <alignment horizontal="justify" vertical="center" wrapText="1"/>
    </xf>
    <xf numFmtId="0" fontId="4" fillId="2" borderId="1" xfId="0" quotePrefix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164" fontId="8" fillId="2" borderId="11" xfId="2" applyFont="1" applyFill="1" applyBorder="1" applyAlignment="1">
      <alignment vertical="center"/>
    </xf>
    <xf numFmtId="164" fontId="5" fillId="2" borderId="11" xfId="2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5" xfId="0" quotePrefix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justify" vertical="center"/>
    </xf>
    <xf numFmtId="0" fontId="5" fillId="2" borderId="5" xfId="0" quotePrefix="1" applyNumberFormat="1" applyFont="1" applyFill="1" applyBorder="1" applyAlignment="1">
      <alignment horizontal="center" vertical="center"/>
    </xf>
    <xf numFmtId="0" fontId="6" fillId="2" borderId="1" xfId="2" applyNumberFormat="1" applyFont="1" applyFill="1" applyBorder="1" applyAlignment="1">
      <alignment horizontal="center" vertical="center"/>
    </xf>
    <xf numFmtId="0" fontId="8" fillId="2" borderId="2" xfId="2" applyNumberFormat="1" applyFont="1" applyFill="1" applyBorder="1" applyAlignment="1">
      <alignment horizontal="justify" vertical="center" wrapText="1"/>
    </xf>
    <xf numFmtId="164" fontId="8" fillId="2" borderId="2" xfId="2" applyFont="1" applyFill="1" applyBorder="1" applyAlignment="1">
      <alignment horizontal="center" vertical="center"/>
    </xf>
    <xf numFmtId="0" fontId="8" fillId="2" borderId="1" xfId="2" quotePrefix="1" applyNumberFormat="1" applyFont="1" applyFill="1" applyBorder="1" applyAlignment="1">
      <alignment horizontal="center" vertical="center"/>
    </xf>
    <xf numFmtId="0" fontId="5" fillId="2" borderId="2" xfId="2" applyNumberFormat="1" applyFont="1" applyFill="1" applyBorder="1" applyAlignment="1">
      <alignment horizontal="justify" vertical="center" wrapText="1"/>
    </xf>
    <xf numFmtId="164" fontId="5" fillId="2" borderId="2" xfId="2" applyFont="1" applyFill="1" applyBorder="1" applyAlignment="1">
      <alignment horizontal="center" vertical="center"/>
    </xf>
    <xf numFmtId="164" fontId="8" fillId="2" borderId="10" xfId="2" applyFont="1" applyFill="1" applyBorder="1" applyAlignment="1">
      <alignment vertical="center"/>
    </xf>
    <xf numFmtId="0" fontId="5" fillId="2" borderId="2" xfId="0" quotePrefix="1" applyNumberFormat="1" applyFont="1" applyFill="1" applyBorder="1" applyAlignment="1">
      <alignment horizontal="center" vertical="center"/>
    </xf>
    <xf numFmtId="0" fontId="5" fillId="2" borderId="1" xfId="0" quotePrefix="1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wrapText="1"/>
    </xf>
    <xf numFmtId="49" fontId="5" fillId="2" borderId="2" xfId="2" quotePrefix="1" applyNumberFormat="1" applyFont="1" applyFill="1" applyBorder="1" applyAlignment="1">
      <alignment horizontal="center" vertical="center"/>
    </xf>
    <xf numFmtId="167" fontId="5" fillId="2" borderId="10" xfId="2" applyNumberFormat="1" applyFont="1" applyFill="1" applyBorder="1" applyAlignment="1">
      <alignment horizontal="right" vertical="center"/>
    </xf>
    <xf numFmtId="164" fontId="5" fillId="2" borderId="10" xfId="2" applyFont="1" applyFill="1" applyBorder="1" applyAlignment="1">
      <alignment horizontal="right" vertical="center"/>
    </xf>
    <xf numFmtId="49" fontId="5" fillId="2" borderId="2" xfId="0" quotePrefix="1" applyNumberFormat="1" applyFont="1" applyFill="1" applyBorder="1" applyAlignment="1">
      <alignment horizontal="center" vertical="center"/>
    </xf>
    <xf numFmtId="49" fontId="5" fillId="2" borderId="1" xfId="0" quotePrefix="1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wrapText="1"/>
    </xf>
    <xf numFmtId="164" fontId="5" fillId="2" borderId="1" xfId="2" applyFont="1" applyFill="1" applyBorder="1" applyAlignment="1">
      <alignment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justify" vertical="center" wrapText="1"/>
    </xf>
    <xf numFmtId="164" fontId="8" fillId="2" borderId="1" xfId="2" applyFont="1" applyFill="1" applyBorder="1" applyAlignment="1">
      <alignment horizontal="center" vertical="center"/>
    </xf>
    <xf numFmtId="164" fontId="5" fillId="2" borderId="1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justify" wrapText="1"/>
    </xf>
    <xf numFmtId="0" fontId="5" fillId="2" borderId="1" xfId="2" applyNumberFormat="1" applyFont="1" applyFill="1" applyBorder="1" applyAlignment="1">
      <alignment horizontal="justify" wrapText="1"/>
    </xf>
    <xf numFmtId="0" fontId="5" fillId="2" borderId="2" xfId="2" applyNumberFormat="1" applyFont="1" applyFill="1" applyBorder="1" applyAlignment="1">
      <alignment horizontal="justify" wrapText="1"/>
    </xf>
    <xf numFmtId="0" fontId="8" fillId="2" borderId="1" xfId="0" applyFont="1" applyFill="1" applyBorder="1" applyAlignment="1">
      <alignment horizontal="justify" vertical="center"/>
    </xf>
    <xf numFmtId="164" fontId="5" fillId="2" borderId="7" xfId="2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justify" vertical="center"/>
    </xf>
    <xf numFmtId="0" fontId="6" fillId="2" borderId="1" xfId="0" applyFont="1" applyFill="1" applyBorder="1" applyAlignment="1">
      <alignment horizontal="justify" vertical="center" wrapText="1"/>
    </xf>
    <xf numFmtId="164" fontId="5" fillId="2" borderId="12" xfId="2" applyFont="1" applyFill="1" applyBorder="1" applyAlignment="1">
      <alignment vertical="center"/>
    </xf>
    <xf numFmtId="0" fontId="6" fillId="2" borderId="2" xfId="0" applyFont="1" applyFill="1" applyBorder="1" applyAlignment="1">
      <alignment horizontal="justify" vertical="center"/>
    </xf>
    <xf numFmtId="49" fontId="5" fillId="2" borderId="1" xfId="2" applyNumberFormat="1" applyFont="1" applyFill="1" applyBorder="1" applyAlignment="1">
      <alignment horizontal="center" vertical="center"/>
    </xf>
    <xf numFmtId="0" fontId="5" fillId="2" borderId="2" xfId="2" applyNumberFormat="1" applyFont="1" applyFill="1" applyBorder="1" applyAlignment="1">
      <alignment horizontal="center" vertical="center"/>
    </xf>
    <xf numFmtId="49" fontId="11" fillId="2" borderId="7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quotePrefix="1" applyNumberFormat="1" applyFont="1" applyFill="1" applyBorder="1" applyAlignment="1">
      <alignment horizontal="center" vertical="center"/>
    </xf>
    <xf numFmtId="49" fontId="11" fillId="2" borderId="4" xfId="0" applyNumberFormat="1" applyFont="1" applyFill="1" applyBorder="1" applyAlignment="1">
      <alignment horizontal="center" vertical="center"/>
    </xf>
    <xf numFmtId="0" fontId="4" fillId="2" borderId="2" xfId="0" quotePrefix="1" applyNumberFormat="1" applyFont="1" applyFill="1" applyBorder="1" applyAlignment="1">
      <alignment horizontal="center" vertical="center"/>
    </xf>
    <xf numFmtId="0" fontId="5" fillId="2" borderId="7" xfId="2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/>
    <xf numFmtId="0" fontId="11" fillId="2" borderId="2" xfId="0" applyFont="1" applyFill="1" applyBorder="1" applyAlignment="1">
      <alignment horizontal="justify" vertical="center"/>
    </xf>
    <xf numFmtId="0" fontId="11" fillId="2" borderId="7" xfId="2" applyNumberFormat="1" applyFont="1" applyFill="1" applyBorder="1" applyAlignment="1">
      <alignment horizontal="center" vertical="center"/>
    </xf>
    <xf numFmtId="0" fontId="5" fillId="2" borderId="1" xfId="2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49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vertical="center"/>
    </xf>
    <xf numFmtId="164" fontId="5" fillId="2" borderId="10" xfId="0" applyNumberFormat="1" applyFont="1" applyFill="1" applyBorder="1" applyAlignment="1">
      <alignment vertical="center"/>
    </xf>
    <xf numFmtId="0" fontId="9" fillId="2" borderId="5" xfId="0" applyFont="1" applyFill="1" applyBorder="1" applyAlignment="1">
      <alignment horizontal="left" vertical="center" wrapText="1"/>
    </xf>
    <xf numFmtId="165" fontId="9" fillId="2" borderId="8" xfId="0" applyNumberFormat="1" applyFont="1" applyFill="1" applyBorder="1"/>
    <xf numFmtId="0" fontId="6" fillId="2" borderId="9" xfId="0" applyNumberFormat="1" applyFont="1" applyFill="1" applyBorder="1"/>
    <xf numFmtId="164" fontId="9" fillId="2" borderId="5" xfId="0" applyNumberFormat="1" applyFont="1" applyFill="1" applyBorder="1" applyAlignment="1">
      <alignment vertical="center"/>
    </xf>
    <xf numFmtId="165" fontId="5" fillId="2" borderId="1" xfId="0" applyNumberFormat="1" applyFont="1" applyFill="1" applyBorder="1"/>
    <xf numFmtId="0" fontId="6" fillId="2" borderId="1" xfId="0" applyNumberFormat="1" applyFont="1" applyFill="1" applyBorder="1"/>
    <xf numFmtId="0" fontId="5" fillId="2" borderId="2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justify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vertical="center"/>
    </xf>
    <xf numFmtId="0" fontId="5" fillId="2" borderId="0" xfId="0" applyNumberFormat="1" applyFont="1" applyFill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5" fillId="2" borderId="5" xfId="0" applyFont="1" applyFill="1" applyBorder="1" applyAlignment="1">
      <alignment horizontal="left" vertical="center" wrapText="1"/>
    </xf>
    <xf numFmtId="0" fontId="5" fillId="2" borderId="1" xfId="2" applyNumberFormat="1" applyFont="1" applyFill="1" applyBorder="1" applyAlignment="1">
      <alignment horizontal="justify" vertical="center" wrapText="1"/>
    </xf>
    <xf numFmtId="0" fontId="5" fillId="2" borderId="4" xfId="2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0" fontId="5" fillId="2" borderId="2" xfId="0" applyNumberFormat="1" applyFont="1" applyFill="1" applyBorder="1" applyAlignment="1">
      <alignment horizontal="justify" vertical="center"/>
    </xf>
    <xf numFmtId="49" fontId="5" fillId="2" borderId="2" xfId="2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/>
    </xf>
    <xf numFmtId="4" fontId="14" fillId="2" borderId="1" xfId="0" applyNumberFormat="1" applyFont="1" applyFill="1" applyBorder="1" applyAlignment="1">
      <alignment vertical="center" wrapText="1"/>
    </xf>
    <xf numFmtId="167" fontId="5" fillId="2" borderId="10" xfId="2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164" fontId="9" fillId="2" borderId="10" xfId="2" applyFont="1" applyFill="1" applyBorder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3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5" fillId="2" borderId="1" xfId="2" applyNumberFormat="1" applyFont="1" applyFill="1" applyBorder="1" applyAlignment="1">
      <alignment horizontal="justify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vertical="center" wrapText="1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жилье сиротам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17" Type="http://schemas.openxmlformats.org/officeDocument/2006/relationships/revisionLog" Target="revisionLog11.xml"/><Relationship Id="rId299" Type="http://schemas.openxmlformats.org/officeDocument/2006/relationships/revisionLog" Target="revisionLog290.xml"/><Relationship Id="rId21" Type="http://schemas.openxmlformats.org/officeDocument/2006/relationships/revisionLog" Target="revisionLog15.xml"/><Relationship Id="rId42" Type="http://schemas.openxmlformats.org/officeDocument/2006/relationships/revisionLog" Target="revisionLog34.xml"/><Relationship Id="rId63" Type="http://schemas.openxmlformats.org/officeDocument/2006/relationships/revisionLog" Target="revisionLog55.xml"/><Relationship Id="rId84" Type="http://schemas.openxmlformats.org/officeDocument/2006/relationships/revisionLog" Target="revisionLog76.xml"/><Relationship Id="rId138" Type="http://schemas.openxmlformats.org/officeDocument/2006/relationships/revisionLog" Target="revisionLog130.xml"/><Relationship Id="rId159" Type="http://schemas.openxmlformats.org/officeDocument/2006/relationships/revisionLog" Target="revisionLog151.xml"/><Relationship Id="rId324" Type="http://schemas.openxmlformats.org/officeDocument/2006/relationships/revisionLog" Target="revisionLog315.xml"/><Relationship Id="rId345" Type="http://schemas.openxmlformats.org/officeDocument/2006/relationships/revisionLog" Target="revisionLog12.xml"/><Relationship Id="rId366" Type="http://schemas.openxmlformats.org/officeDocument/2006/relationships/revisionLog" Target="revisionLog356.xml"/><Relationship Id="rId387" Type="http://schemas.openxmlformats.org/officeDocument/2006/relationships/revisionLog" Target="revisionLog377.xml"/><Relationship Id="rId170" Type="http://schemas.openxmlformats.org/officeDocument/2006/relationships/revisionLog" Target="revisionLog162.xml"/><Relationship Id="rId191" Type="http://schemas.openxmlformats.org/officeDocument/2006/relationships/revisionLog" Target="revisionLog183.xml"/><Relationship Id="rId205" Type="http://schemas.openxmlformats.org/officeDocument/2006/relationships/revisionLog" Target="revisionLog196.xml"/><Relationship Id="rId226" Type="http://schemas.openxmlformats.org/officeDocument/2006/relationships/revisionLog" Target="revisionLog217.xml"/><Relationship Id="rId247" Type="http://schemas.openxmlformats.org/officeDocument/2006/relationships/revisionLog" Target="revisionLog238.xml"/><Relationship Id="rId107" Type="http://schemas.openxmlformats.org/officeDocument/2006/relationships/revisionLog" Target="revisionLog99.xml"/><Relationship Id="rId268" Type="http://schemas.openxmlformats.org/officeDocument/2006/relationships/revisionLog" Target="revisionLog259.xml"/><Relationship Id="rId289" Type="http://schemas.openxmlformats.org/officeDocument/2006/relationships/revisionLog" Target="revisionLog280.xml"/><Relationship Id="rId11" Type="http://schemas.openxmlformats.org/officeDocument/2006/relationships/revisionLog" Target="revisionLog121.xml"/><Relationship Id="rId32" Type="http://schemas.openxmlformats.org/officeDocument/2006/relationships/revisionLog" Target="revisionLog24.xml"/><Relationship Id="rId53" Type="http://schemas.openxmlformats.org/officeDocument/2006/relationships/revisionLog" Target="revisionLog45.xml"/><Relationship Id="rId74" Type="http://schemas.openxmlformats.org/officeDocument/2006/relationships/revisionLog" Target="revisionLog66.xml"/><Relationship Id="rId128" Type="http://schemas.openxmlformats.org/officeDocument/2006/relationships/revisionLog" Target="revisionLog118.xml"/><Relationship Id="rId149" Type="http://schemas.openxmlformats.org/officeDocument/2006/relationships/revisionLog" Target="revisionLog141.xml"/><Relationship Id="rId314" Type="http://schemas.openxmlformats.org/officeDocument/2006/relationships/revisionLog" Target="revisionLog305.xml"/><Relationship Id="rId335" Type="http://schemas.openxmlformats.org/officeDocument/2006/relationships/revisionLog" Target="revisionLog326.xml"/><Relationship Id="rId356" Type="http://schemas.openxmlformats.org/officeDocument/2006/relationships/revisionLog" Target="revisionLog346.xml"/><Relationship Id="rId377" Type="http://schemas.openxmlformats.org/officeDocument/2006/relationships/revisionLog" Target="revisionLog367.xml"/><Relationship Id="rId95" Type="http://schemas.openxmlformats.org/officeDocument/2006/relationships/revisionLog" Target="revisionLog87.xml"/><Relationship Id="rId160" Type="http://schemas.openxmlformats.org/officeDocument/2006/relationships/revisionLog" Target="revisionLog152.xml"/><Relationship Id="rId181" Type="http://schemas.openxmlformats.org/officeDocument/2006/relationships/revisionLog" Target="revisionLog173.xml"/><Relationship Id="rId216" Type="http://schemas.openxmlformats.org/officeDocument/2006/relationships/revisionLog" Target="revisionLog207.xml"/><Relationship Id="rId237" Type="http://schemas.openxmlformats.org/officeDocument/2006/relationships/revisionLog" Target="revisionLog228.xml"/><Relationship Id="rId258" Type="http://schemas.openxmlformats.org/officeDocument/2006/relationships/revisionLog" Target="revisionLog249.xml"/><Relationship Id="rId279" Type="http://schemas.openxmlformats.org/officeDocument/2006/relationships/revisionLog" Target="revisionLog270.xml"/><Relationship Id="rId22" Type="http://schemas.openxmlformats.org/officeDocument/2006/relationships/revisionLog" Target="revisionLog111.xml"/><Relationship Id="rId43" Type="http://schemas.openxmlformats.org/officeDocument/2006/relationships/revisionLog" Target="revisionLog35.xml"/><Relationship Id="rId64" Type="http://schemas.openxmlformats.org/officeDocument/2006/relationships/revisionLog" Target="revisionLog56.xml"/><Relationship Id="rId118" Type="http://schemas.openxmlformats.org/officeDocument/2006/relationships/revisionLog" Target="revisionLog122.xml"/><Relationship Id="rId139" Type="http://schemas.openxmlformats.org/officeDocument/2006/relationships/revisionLog" Target="revisionLog131.xml"/><Relationship Id="rId290" Type="http://schemas.openxmlformats.org/officeDocument/2006/relationships/revisionLog" Target="revisionLog281.xml"/><Relationship Id="rId304" Type="http://schemas.openxmlformats.org/officeDocument/2006/relationships/revisionLog" Target="revisionLog295.xml"/><Relationship Id="rId325" Type="http://schemas.openxmlformats.org/officeDocument/2006/relationships/revisionLog" Target="revisionLog316.xml"/><Relationship Id="rId346" Type="http://schemas.openxmlformats.org/officeDocument/2006/relationships/revisionLog" Target="revisionLog336.xml"/><Relationship Id="rId367" Type="http://schemas.openxmlformats.org/officeDocument/2006/relationships/revisionLog" Target="revisionLog357.xml"/><Relationship Id="rId388" Type="http://schemas.openxmlformats.org/officeDocument/2006/relationships/revisionLog" Target="revisionLog378.xml"/><Relationship Id="rId85" Type="http://schemas.openxmlformats.org/officeDocument/2006/relationships/revisionLog" Target="revisionLog77.xml"/><Relationship Id="rId150" Type="http://schemas.openxmlformats.org/officeDocument/2006/relationships/revisionLog" Target="revisionLog142.xml"/><Relationship Id="rId171" Type="http://schemas.openxmlformats.org/officeDocument/2006/relationships/revisionLog" Target="revisionLog163.xml"/><Relationship Id="rId192" Type="http://schemas.openxmlformats.org/officeDocument/2006/relationships/revisionLog" Target="revisionLog184.xml"/><Relationship Id="rId206" Type="http://schemas.openxmlformats.org/officeDocument/2006/relationships/revisionLog" Target="revisionLog197.xml"/><Relationship Id="rId227" Type="http://schemas.openxmlformats.org/officeDocument/2006/relationships/revisionLog" Target="revisionLog218.xml"/><Relationship Id="rId248" Type="http://schemas.openxmlformats.org/officeDocument/2006/relationships/revisionLog" Target="revisionLog239.xml"/><Relationship Id="rId269" Type="http://schemas.openxmlformats.org/officeDocument/2006/relationships/revisionLog" Target="revisionLog260.xml"/><Relationship Id="rId12" Type="http://schemas.openxmlformats.org/officeDocument/2006/relationships/revisionLog" Target="revisionLog1221.xml"/><Relationship Id="rId33" Type="http://schemas.openxmlformats.org/officeDocument/2006/relationships/revisionLog" Target="revisionLog25.xml"/><Relationship Id="rId108" Type="http://schemas.openxmlformats.org/officeDocument/2006/relationships/revisionLog" Target="revisionLog100.xml"/><Relationship Id="rId129" Type="http://schemas.openxmlformats.org/officeDocument/2006/relationships/revisionLog" Target="revisionLog119.xml"/><Relationship Id="rId280" Type="http://schemas.openxmlformats.org/officeDocument/2006/relationships/revisionLog" Target="revisionLog271.xml"/><Relationship Id="rId315" Type="http://schemas.openxmlformats.org/officeDocument/2006/relationships/revisionLog" Target="revisionLog306.xml"/><Relationship Id="rId336" Type="http://schemas.openxmlformats.org/officeDocument/2006/relationships/revisionLog" Target="revisionLog327.xml"/><Relationship Id="rId357" Type="http://schemas.openxmlformats.org/officeDocument/2006/relationships/revisionLog" Target="revisionLog347.xml"/><Relationship Id="rId54" Type="http://schemas.openxmlformats.org/officeDocument/2006/relationships/revisionLog" Target="revisionLog46.xml"/><Relationship Id="rId75" Type="http://schemas.openxmlformats.org/officeDocument/2006/relationships/revisionLog" Target="revisionLog67.xml"/><Relationship Id="rId96" Type="http://schemas.openxmlformats.org/officeDocument/2006/relationships/revisionLog" Target="revisionLog88.xml"/><Relationship Id="rId140" Type="http://schemas.openxmlformats.org/officeDocument/2006/relationships/revisionLog" Target="revisionLog132.xml"/><Relationship Id="rId161" Type="http://schemas.openxmlformats.org/officeDocument/2006/relationships/revisionLog" Target="revisionLog153.xml"/><Relationship Id="rId182" Type="http://schemas.openxmlformats.org/officeDocument/2006/relationships/revisionLog" Target="revisionLog174.xml"/><Relationship Id="rId217" Type="http://schemas.openxmlformats.org/officeDocument/2006/relationships/revisionLog" Target="revisionLog208.xml"/><Relationship Id="rId378" Type="http://schemas.openxmlformats.org/officeDocument/2006/relationships/revisionLog" Target="revisionLog368.xml"/><Relationship Id="rId6" Type="http://schemas.openxmlformats.org/officeDocument/2006/relationships/revisionLog" Target="revisionLog6.xml"/><Relationship Id="rId238" Type="http://schemas.openxmlformats.org/officeDocument/2006/relationships/revisionLog" Target="revisionLog229.xml"/><Relationship Id="rId259" Type="http://schemas.openxmlformats.org/officeDocument/2006/relationships/revisionLog" Target="revisionLog250.xml"/><Relationship Id="rId23" Type="http://schemas.openxmlformats.org/officeDocument/2006/relationships/revisionLog" Target="revisionLog16.xml"/><Relationship Id="rId119" Type="http://schemas.openxmlformats.org/officeDocument/2006/relationships/revisionLog" Target="revisionLog110.xml"/><Relationship Id="rId270" Type="http://schemas.openxmlformats.org/officeDocument/2006/relationships/revisionLog" Target="revisionLog261.xml"/><Relationship Id="rId291" Type="http://schemas.openxmlformats.org/officeDocument/2006/relationships/revisionLog" Target="revisionLog282.xml"/><Relationship Id="rId305" Type="http://schemas.openxmlformats.org/officeDocument/2006/relationships/revisionLog" Target="revisionLog296.xml"/><Relationship Id="rId326" Type="http://schemas.openxmlformats.org/officeDocument/2006/relationships/revisionLog" Target="revisionLog317.xml"/><Relationship Id="rId347" Type="http://schemas.openxmlformats.org/officeDocument/2006/relationships/revisionLog" Target="revisionLog337.xml"/><Relationship Id="rId44" Type="http://schemas.openxmlformats.org/officeDocument/2006/relationships/revisionLog" Target="revisionLog36.xml"/><Relationship Id="rId65" Type="http://schemas.openxmlformats.org/officeDocument/2006/relationships/revisionLog" Target="revisionLog57.xml"/><Relationship Id="rId86" Type="http://schemas.openxmlformats.org/officeDocument/2006/relationships/revisionLog" Target="revisionLog78.xml"/><Relationship Id="rId130" Type="http://schemas.openxmlformats.org/officeDocument/2006/relationships/revisionLog" Target="revisionLog120.xml"/><Relationship Id="rId151" Type="http://schemas.openxmlformats.org/officeDocument/2006/relationships/revisionLog" Target="revisionLog143.xml"/><Relationship Id="rId368" Type="http://schemas.openxmlformats.org/officeDocument/2006/relationships/revisionLog" Target="revisionLog358.xml"/><Relationship Id="rId389" Type="http://schemas.openxmlformats.org/officeDocument/2006/relationships/revisionLog" Target="revisionLog379.xml"/><Relationship Id="rId172" Type="http://schemas.openxmlformats.org/officeDocument/2006/relationships/revisionLog" Target="revisionLog164.xml"/><Relationship Id="rId193" Type="http://schemas.openxmlformats.org/officeDocument/2006/relationships/revisionLog" Target="revisionLog185.xml"/><Relationship Id="rId207" Type="http://schemas.openxmlformats.org/officeDocument/2006/relationships/revisionLog" Target="revisionLog198.xml"/><Relationship Id="rId228" Type="http://schemas.openxmlformats.org/officeDocument/2006/relationships/revisionLog" Target="revisionLog219.xml"/><Relationship Id="rId249" Type="http://schemas.openxmlformats.org/officeDocument/2006/relationships/revisionLog" Target="revisionLog240.xml"/><Relationship Id="rId13" Type="http://schemas.openxmlformats.org/officeDocument/2006/relationships/revisionLog" Target="revisionLog2.xml"/><Relationship Id="rId109" Type="http://schemas.openxmlformats.org/officeDocument/2006/relationships/revisionLog" Target="revisionLog101.xml"/><Relationship Id="rId260" Type="http://schemas.openxmlformats.org/officeDocument/2006/relationships/revisionLog" Target="revisionLog251.xml"/><Relationship Id="rId281" Type="http://schemas.openxmlformats.org/officeDocument/2006/relationships/revisionLog" Target="revisionLog272.xml"/><Relationship Id="rId316" Type="http://schemas.openxmlformats.org/officeDocument/2006/relationships/revisionLog" Target="revisionLog307.xml"/><Relationship Id="rId337" Type="http://schemas.openxmlformats.org/officeDocument/2006/relationships/revisionLog" Target="revisionLog328.xml"/><Relationship Id="rId34" Type="http://schemas.openxmlformats.org/officeDocument/2006/relationships/revisionLog" Target="revisionLog26.xml"/><Relationship Id="rId55" Type="http://schemas.openxmlformats.org/officeDocument/2006/relationships/revisionLog" Target="revisionLog47.xml"/><Relationship Id="rId76" Type="http://schemas.openxmlformats.org/officeDocument/2006/relationships/revisionLog" Target="revisionLog68.xml"/><Relationship Id="rId97" Type="http://schemas.openxmlformats.org/officeDocument/2006/relationships/revisionLog" Target="revisionLog89.xml"/><Relationship Id="rId120" Type="http://schemas.openxmlformats.org/officeDocument/2006/relationships/revisionLog" Target="revisionLog112.xml"/><Relationship Id="rId141" Type="http://schemas.openxmlformats.org/officeDocument/2006/relationships/revisionLog" Target="revisionLog133.xml"/><Relationship Id="rId358" Type="http://schemas.openxmlformats.org/officeDocument/2006/relationships/revisionLog" Target="revisionLog348.xml"/><Relationship Id="rId379" Type="http://schemas.openxmlformats.org/officeDocument/2006/relationships/revisionLog" Target="revisionLog369.xml"/><Relationship Id="rId7" Type="http://schemas.openxmlformats.org/officeDocument/2006/relationships/revisionLog" Target="revisionLog7.xml"/><Relationship Id="rId162" Type="http://schemas.openxmlformats.org/officeDocument/2006/relationships/revisionLog" Target="revisionLog154.xml"/><Relationship Id="rId183" Type="http://schemas.openxmlformats.org/officeDocument/2006/relationships/revisionLog" Target="revisionLog175.xml"/><Relationship Id="rId218" Type="http://schemas.openxmlformats.org/officeDocument/2006/relationships/revisionLog" Target="revisionLog209.xml"/><Relationship Id="rId239" Type="http://schemas.openxmlformats.org/officeDocument/2006/relationships/revisionLog" Target="revisionLog230.xml"/><Relationship Id="rId390" Type="http://schemas.openxmlformats.org/officeDocument/2006/relationships/revisionLog" Target="revisionLog1.xml"/><Relationship Id="rId250" Type="http://schemas.openxmlformats.org/officeDocument/2006/relationships/revisionLog" Target="revisionLog241.xml"/><Relationship Id="rId271" Type="http://schemas.openxmlformats.org/officeDocument/2006/relationships/revisionLog" Target="revisionLog262.xml"/><Relationship Id="rId292" Type="http://schemas.openxmlformats.org/officeDocument/2006/relationships/revisionLog" Target="revisionLog283.xml"/><Relationship Id="rId306" Type="http://schemas.openxmlformats.org/officeDocument/2006/relationships/revisionLog" Target="revisionLog297.xml"/><Relationship Id="rId24" Type="http://schemas.openxmlformats.org/officeDocument/2006/relationships/revisionLog" Target="revisionLog17.xml"/><Relationship Id="rId45" Type="http://schemas.openxmlformats.org/officeDocument/2006/relationships/revisionLog" Target="revisionLog37.xml"/><Relationship Id="rId66" Type="http://schemas.openxmlformats.org/officeDocument/2006/relationships/revisionLog" Target="revisionLog58.xml"/><Relationship Id="rId87" Type="http://schemas.openxmlformats.org/officeDocument/2006/relationships/revisionLog" Target="revisionLog79.xml"/><Relationship Id="rId110" Type="http://schemas.openxmlformats.org/officeDocument/2006/relationships/revisionLog" Target="revisionLog102.xml"/><Relationship Id="rId131" Type="http://schemas.openxmlformats.org/officeDocument/2006/relationships/revisionLog" Target="revisionLog123.xml"/><Relationship Id="rId327" Type="http://schemas.openxmlformats.org/officeDocument/2006/relationships/revisionLog" Target="revisionLog318.xml"/><Relationship Id="rId348" Type="http://schemas.openxmlformats.org/officeDocument/2006/relationships/revisionLog" Target="revisionLog338.xml"/><Relationship Id="rId369" Type="http://schemas.openxmlformats.org/officeDocument/2006/relationships/revisionLog" Target="revisionLog359.xml"/><Relationship Id="rId152" Type="http://schemas.openxmlformats.org/officeDocument/2006/relationships/revisionLog" Target="revisionLog144.xml"/><Relationship Id="rId173" Type="http://schemas.openxmlformats.org/officeDocument/2006/relationships/revisionLog" Target="revisionLog165.xml"/><Relationship Id="rId194" Type="http://schemas.openxmlformats.org/officeDocument/2006/relationships/revisionLog" Target="revisionLog186.xml"/><Relationship Id="rId208" Type="http://schemas.openxmlformats.org/officeDocument/2006/relationships/revisionLog" Target="revisionLog199.xml"/><Relationship Id="rId229" Type="http://schemas.openxmlformats.org/officeDocument/2006/relationships/revisionLog" Target="revisionLog220.xml"/><Relationship Id="rId380" Type="http://schemas.openxmlformats.org/officeDocument/2006/relationships/revisionLog" Target="revisionLog370.xml"/><Relationship Id="rId240" Type="http://schemas.openxmlformats.org/officeDocument/2006/relationships/revisionLog" Target="revisionLog231.xml"/><Relationship Id="rId261" Type="http://schemas.openxmlformats.org/officeDocument/2006/relationships/revisionLog" Target="revisionLog252.xml"/><Relationship Id="rId14" Type="http://schemas.openxmlformats.org/officeDocument/2006/relationships/revisionLog" Target="revisionLog3.xml"/><Relationship Id="rId35" Type="http://schemas.openxmlformats.org/officeDocument/2006/relationships/revisionLog" Target="revisionLog27.xml"/><Relationship Id="rId56" Type="http://schemas.openxmlformats.org/officeDocument/2006/relationships/revisionLog" Target="revisionLog48.xml"/><Relationship Id="rId77" Type="http://schemas.openxmlformats.org/officeDocument/2006/relationships/revisionLog" Target="revisionLog69.xml"/><Relationship Id="rId100" Type="http://schemas.openxmlformats.org/officeDocument/2006/relationships/revisionLog" Target="revisionLog92.xml"/><Relationship Id="rId282" Type="http://schemas.openxmlformats.org/officeDocument/2006/relationships/revisionLog" Target="revisionLog273.xml"/><Relationship Id="rId317" Type="http://schemas.openxmlformats.org/officeDocument/2006/relationships/revisionLog" Target="revisionLog308.xml"/><Relationship Id="rId338" Type="http://schemas.openxmlformats.org/officeDocument/2006/relationships/revisionLog" Target="revisionLog329.xml"/><Relationship Id="rId359" Type="http://schemas.openxmlformats.org/officeDocument/2006/relationships/revisionLog" Target="revisionLog349.xml"/><Relationship Id="rId8" Type="http://schemas.openxmlformats.org/officeDocument/2006/relationships/revisionLog" Target="revisionLog1111.xml"/><Relationship Id="rId98" Type="http://schemas.openxmlformats.org/officeDocument/2006/relationships/revisionLog" Target="revisionLog90.xml"/><Relationship Id="rId121" Type="http://schemas.openxmlformats.org/officeDocument/2006/relationships/revisionLog" Target="revisionLog14.xml"/><Relationship Id="rId142" Type="http://schemas.openxmlformats.org/officeDocument/2006/relationships/revisionLog" Target="revisionLog134.xml"/><Relationship Id="rId163" Type="http://schemas.openxmlformats.org/officeDocument/2006/relationships/revisionLog" Target="revisionLog155.xml"/><Relationship Id="rId184" Type="http://schemas.openxmlformats.org/officeDocument/2006/relationships/revisionLog" Target="revisionLog176.xml"/><Relationship Id="rId219" Type="http://schemas.openxmlformats.org/officeDocument/2006/relationships/revisionLog" Target="revisionLog210.xml"/><Relationship Id="rId370" Type="http://schemas.openxmlformats.org/officeDocument/2006/relationships/revisionLog" Target="revisionLog360.xml"/><Relationship Id="rId230" Type="http://schemas.openxmlformats.org/officeDocument/2006/relationships/revisionLog" Target="revisionLog221.xml"/><Relationship Id="rId251" Type="http://schemas.openxmlformats.org/officeDocument/2006/relationships/revisionLog" Target="revisionLog242.xml"/><Relationship Id="rId25" Type="http://schemas.openxmlformats.org/officeDocument/2006/relationships/revisionLog" Target="revisionLog18.xml"/><Relationship Id="rId46" Type="http://schemas.openxmlformats.org/officeDocument/2006/relationships/revisionLog" Target="revisionLog38.xml"/><Relationship Id="rId67" Type="http://schemas.openxmlformats.org/officeDocument/2006/relationships/revisionLog" Target="revisionLog59.xml"/><Relationship Id="rId272" Type="http://schemas.openxmlformats.org/officeDocument/2006/relationships/revisionLog" Target="revisionLog263.xml"/><Relationship Id="rId293" Type="http://schemas.openxmlformats.org/officeDocument/2006/relationships/revisionLog" Target="revisionLog284.xml"/><Relationship Id="rId307" Type="http://schemas.openxmlformats.org/officeDocument/2006/relationships/revisionLog" Target="revisionLog298.xml"/><Relationship Id="rId328" Type="http://schemas.openxmlformats.org/officeDocument/2006/relationships/revisionLog" Target="revisionLog319.xml"/><Relationship Id="rId349" Type="http://schemas.openxmlformats.org/officeDocument/2006/relationships/revisionLog" Target="revisionLog339.xml"/><Relationship Id="rId88" Type="http://schemas.openxmlformats.org/officeDocument/2006/relationships/revisionLog" Target="revisionLog80.xml"/><Relationship Id="rId111" Type="http://schemas.openxmlformats.org/officeDocument/2006/relationships/revisionLog" Target="revisionLog103.xml"/><Relationship Id="rId132" Type="http://schemas.openxmlformats.org/officeDocument/2006/relationships/revisionLog" Target="revisionLog124.xml"/><Relationship Id="rId153" Type="http://schemas.openxmlformats.org/officeDocument/2006/relationships/revisionLog" Target="revisionLog1451.xml"/><Relationship Id="rId174" Type="http://schemas.openxmlformats.org/officeDocument/2006/relationships/revisionLog" Target="revisionLog166.xml"/><Relationship Id="rId195" Type="http://schemas.openxmlformats.org/officeDocument/2006/relationships/revisionLog" Target="revisionLog187.xml"/><Relationship Id="rId209" Type="http://schemas.openxmlformats.org/officeDocument/2006/relationships/revisionLog" Target="revisionLog200.xml"/><Relationship Id="rId360" Type="http://schemas.openxmlformats.org/officeDocument/2006/relationships/revisionLog" Target="revisionLog350.xml"/><Relationship Id="rId381" Type="http://schemas.openxmlformats.org/officeDocument/2006/relationships/revisionLog" Target="revisionLog371.xml"/><Relationship Id="rId220" Type="http://schemas.openxmlformats.org/officeDocument/2006/relationships/revisionLog" Target="revisionLog211.xml"/><Relationship Id="rId241" Type="http://schemas.openxmlformats.org/officeDocument/2006/relationships/revisionLog" Target="revisionLog232.xml"/><Relationship Id="rId15" Type="http://schemas.openxmlformats.org/officeDocument/2006/relationships/revisionLog" Target="revisionLog4.xml"/><Relationship Id="rId36" Type="http://schemas.openxmlformats.org/officeDocument/2006/relationships/revisionLog" Target="revisionLog28.xml"/><Relationship Id="rId57" Type="http://schemas.openxmlformats.org/officeDocument/2006/relationships/revisionLog" Target="revisionLog49.xml"/><Relationship Id="rId262" Type="http://schemas.openxmlformats.org/officeDocument/2006/relationships/revisionLog" Target="revisionLog253.xml"/><Relationship Id="rId283" Type="http://schemas.openxmlformats.org/officeDocument/2006/relationships/revisionLog" Target="revisionLog274.xml"/><Relationship Id="rId318" Type="http://schemas.openxmlformats.org/officeDocument/2006/relationships/revisionLog" Target="revisionLog309.xml"/><Relationship Id="rId339" Type="http://schemas.openxmlformats.org/officeDocument/2006/relationships/revisionLog" Target="revisionLog330.xml"/><Relationship Id="rId78" Type="http://schemas.openxmlformats.org/officeDocument/2006/relationships/revisionLog" Target="revisionLog70.xml"/><Relationship Id="rId99" Type="http://schemas.openxmlformats.org/officeDocument/2006/relationships/revisionLog" Target="revisionLog91.xml"/><Relationship Id="rId101" Type="http://schemas.openxmlformats.org/officeDocument/2006/relationships/revisionLog" Target="revisionLog93.xml"/><Relationship Id="rId122" Type="http://schemas.openxmlformats.org/officeDocument/2006/relationships/revisionLog" Target="revisionLog109.xml"/><Relationship Id="rId143" Type="http://schemas.openxmlformats.org/officeDocument/2006/relationships/revisionLog" Target="revisionLog135.xml"/><Relationship Id="rId164" Type="http://schemas.openxmlformats.org/officeDocument/2006/relationships/revisionLog" Target="revisionLog156.xml"/><Relationship Id="rId185" Type="http://schemas.openxmlformats.org/officeDocument/2006/relationships/revisionLog" Target="revisionLog177.xml"/><Relationship Id="rId350" Type="http://schemas.openxmlformats.org/officeDocument/2006/relationships/revisionLog" Target="revisionLog340.xml"/><Relationship Id="rId371" Type="http://schemas.openxmlformats.org/officeDocument/2006/relationships/revisionLog" Target="revisionLog361.xml"/><Relationship Id="rId9" Type="http://schemas.openxmlformats.org/officeDocument/2006/relationships/revisionLog" Target="revisionLog12111.xml"/><Relationship Id="rId210" Type="http://schemas.openxmlformats.org/officeDocument/2006/relationships/revisionLog" Target="revisionLog201.xml"/><Relationship Id="rId26" Type="http://schemas.openxmlformats.org/officeDocument/2006/relationships/revisionLog" Target="revisionLog19.xml"/><Relationship Id="rId231" Type="http://schemas.openxmlformats.org/officeDocument/2006/relationships/revisionLog" Target="revisionLog222.xml"/><Relationship Id="rId252" Type="http://schemas.openxmlformats.org/officeDocument/2006/relationships/revisionLog" Target="revisionLog243.xml"/><Relationship Id="rId273" Type="http://schemas.openxmlformats.org/officeDocument/2006/relationships/revisionLog" Target="revisionLog264.xml"/><Relationship Id="rId294" Type="http://schemas.openxmlformats.org/officeDocument/2006/relationships/revisionLog" Target="revisionLog285.xml"/><Relationship Id="rId308" Type="http://schemas.openxmlformats.org/officeDocument/2006/relationships/revisionLog" Target="revisionLog299.xml"/><Relationship Id="rId329" Type="http://schemas.openxmlformats.org/officeDocument/2006/relationships/revisionLog" Target="revisionLog320.xml"/><Relationship Id="rId47" Type="http://schemas.openxmlformats.org/officeDocument/2006/relationships/revisionLog" Target="revisionLog39.xml"/><Relationship Id="rId68" Type="http://schemas.openxmlformats.org/officeDocument/2006/relationships/revisionLog" Target="revisionLog60.xml"/><Relationship Id="rId89" Type="http://schemas.openxmlformats.org/officeDocument/2006/relationships/revisionLog" Target="revisionLog81.xml"/><Relationship Id="rId112" Type="http://schemas.openxmlformats.org/officeDocument/2006/relationships/revisionLog" Target="revisionLog104.xml"/><Relationship Id="rId133" Type="http://schemas.openxmlformats.org/officeDocument/2006/relationships/revisionLog" Target="revisionLog125.xml"/><Relationship Id="rId154" Type="http://schemas.openxmlformats.org/officeDocument/2006/relationships/revisionLog" Target="revisionLog146.xml"/><Relationship Id="rId175" Type="http://schemas.openxmlformats.org/officeDocument/2006/relationships/revisionLog" Target="revisionLog167.xml"/><Relationship Id="rId340" Type="http://schemas.openxmlformats.org/officeDocument/2006/relationships/revisionLog" Target="revisionLog331.xml"/><Relationship Id="rId361" Type="http://schemas.openxmlformats.org/officeDocument/2006/relationships/revisionLog" Target="revisionLog351.xml"/><Relationship Id="rId196" Type="http://schemas.openxmlformats.org/officeDocument/2006/relationships/revisionLog" Target="revisionLog188.xml"/><Relationship Id="rId200" Type="http://schemas.openxmlformats.org/officeDocument/2006/relationships/revisionLog" Target="revisionLog192.xml"/><Relationship Id="rId382" Type="http://schemas.openxmlformats.org/officeDocument/2006/relationships/revisionLog" Target="revisionLog372.xml"/><Relationship Id="rId16" Type="http://schemas.openxmlformats.org/officeDocument/2006/relationships/revisionLog" Target="revisionLog8.xml"/><Relationship Id="rId221" Type="http://schemas.openxmlformats.org/officeDocument/2006/relationships/revisionLog" Target="revisionLog212.xml"/><Relationship Id="rId242" Type="http://schemas.openxmlformats.org/officeDocument/2006/relationships/revisionLog" Target="revisionLog233.xml"/><Relationship Id="rId263" Type="http://schemas.openxmlformats.org/officeDocument/2006/relationships/revisionLog" Target="revisionLog254.xml"/><Relationship Id="rId284" Type="http://schemas.openxmlformats.org/officeDocument/2006/relationships/revisionLog" Target="revisionLog275.xml"/><Relationship Id="rId319" Type="http://schemas.openxmlformats.org/officeDocument/2006/relationships/revisionLog" Target="revisionLog310.xml"/><Relationship Id="rId37" Type="http://schemas.openxmlformats.org/officeDocument/2006/relationships/revisionLog" Target="revisionLog29.xml"/><Relationship Id="rId58" Type="http://schemas.openxmlformats.org/officeDocument/2006/relationships/revisionLog" Target="revisionLog50.xml"/><Relationship Id="rId79" Type="http://schemas.openxmlformats.org/officeDocument/2006/relationships/revisionLog" Target="revisionLog71.xml"/><Relationship Id="rId102" Type="http://schemas.openxmlformats.org/officeDocument/2006/relationships/revisionLog" Target="revisionLog94.xml"/><Relationship Id="rId123" Type="http://schemas.openxmlformats.org/officeDocument/2006/relationships/revisionLog" Target="revisionLog113.xml"/><Relationship Id="rId144" Type="http://schemas.openxmlformats.org/officeDocument/2006/relationships/revisionLog" Target="revisionLog136.xml"/><Relationship Id="rId330" Type="http://schemas.openxmlformats.org/officeDocument/2006/relationships/revisionLog" Target="revisionLog321.xml"/><Relationship Id="rId90" Type="http://schemas.openxmlformats.org/officeDocument/2006/relationships/revisionLog" Target="revisionLog82.xml"/><Relationship Id="rId165" Type="http://schemas.openxmlformats.org/officeDocument/2006/relationships/revisionLog" Target="revisionLog157.xml"/><Relationship Id="rId186" Type="http://schemas.openxmlformats.org/officeDocument/2006/relationships/revisionLog" Target="revisionLog178.xml"/><Relationship Id="rId351" Type="http://schemas.openxmlformats.org/officeDocument/2006/relationships/revisionLog" Target="revisionLog341.xml"/><Relationship Id="rId372" Type="http://schemas.openxmlformats.org/officeDocument/2006/relationships/revisionLog" Target="revisionLog362.xml"/><Relationship Id="rId211" Type="http://schemas.openxmlformats.org/officeDocument/2006/relationships/revisionLog" Target="revisionLog202.xml"/><Relationship Id="rId232" Type="http://schemas.openxmlformats.org/officeDocument/2006/relationships/revisionLog" Target="revisionLog223.xml"/><Relationship Id="rId253" Type="http://schemas.openxmlformats.org/officeDocument/2006/relationships/revisionLog" Target="revisionLog244.xml"/><Relationship Id="rId274" Type="http://schemas.openxmlformats.org/officeDocument/2006/relationships/revisionLog" Target="revisionLog265.xml"/><Relationship Id="rId295" Type="http://schemas.openxmlformats.org/officeDocument/2006/relationships/revisionLog" Target="revisionLog286.xml"/><Relationship Id="rId309" Type="http://schemas.openxmlformats.org/officeDocument/2006/relationships/revisionLog" Target="revisionLog300.xml"/><Relationship Id="rId27" Type="http://schemas.openxmlformats.org/officeDocument/2006/relationships/revisionLog" Target="revisionLog5.xml"/><Relationship Id="rId48" Type="http://schemas.openxmlformats.org/officeDocument/2006/relationships/revisionLog" Target="revisionLog40.xml"/><Relationship Id="rId69" Type="http://schemas.openxmlformats.org/officeDocument/2006/relationships/revisionLog" Target="revisionLog61.xml"/><Relationship Id="rId113" Type="http://schemas.openxmlformats.org/officeDocument/2006/relationships/revisionLog" Target="revisionLog105.xml"/><Relationship Id="rId134" Type="http://schemas.openxmlformats.org/officeDocument/2006/relationships/revisionLog" Target="revisionLog126.xml"/><Relationship Id="rId320" Type="http://schemas.openxmlformats.org/officeDocument/2006/relationships/revisionLog" Target="revisionLog311.xml"/><Relationship Id="rId80" Type="http://schemas.openxmlformats.org/officeDocument/2006/relationships/revisionLog" Target="revisionLog72.xml"/><Relationship Id="rId155" Type="http://schemas.openxmlformats.org/officeDocument/2006/relationships/revisionLog" Target="revisionLog147.xml"/><Relationship Id="rId176" Type="http://schemas.openxmlformats.org/officeDocument/2006/relationships/revisionLog" Target="revisionLog168.xml"/><Relationship Id="rId197" Type="http://schemas.openxmlformats.org/officeDocument/2006/relationships/revisionLog" Target="revisionLog189.xml"/><Relationship Id="rId341" Type="http://schemas.openxmlformats.org/officeDocument/2006/relationships/revisionLog" Target="revisionLog332.xml"/><Relationship Id="rId362" Type="http://schemas.openxmlformats.org/officeDocument/2006/relationships/revisionLog" Target="revisionLog352.xml"/><Relationship Id="rId383" Type="http://schemas.openxmlformats.org/officeDocument/2006/relationships/revisionLog" Target="revisionLog373.xml"/><Relationship Id="rId201" Type="http://schemas.openxmlformats.org/officeDocument/2006/relationships/revisionLog" Target="revisionLog13.xml"/><Relationship Id="rId222" Type="http://schemas.openxmlformats.org/officeDocument/2006/relationships/revisionLog" Target="revisionLog213.xml"/><Relationship Id="rId243" Type="http://schemas.openxmlformats.org/officeDocument/2006/relationships/revisionLog" Target="revisionLog234.xml"/><Relationship Id="rId264" Type="http://schemas.openxmlformats.org/officeDocument/2006/relationships/revisionLog" Target="revisionLog255.xml"/><Relationship Id="rId285" Type="http://schemas.openxmlformats.org/officeDocument/2006/relationships/revisionLog" Target="revisionLog276.xml"/><Relationship Id="rId17" Type="http://schemas.openxmlformats.org/officeDocument/2006/relationships/revisionLog" Target="revisionLog9.xml"/><Relationship Id="rId38" Type="http://schemas.openxmlformats.org/officeDocument/2006/relationships/revisionLog" Target="revisionLog30.xml"/><Relationship Id="rId59" Type="http://schemas.openxmlformats.org/officeDocument/2006/relationships/revisionLog" Target="revisionLog51.xml"/><Relationship Id="rId103" Type="http://schemas.openxmlformats.org/officeDocument/2006/relationships/revisionLog" Target="revisionLog95.xml"/><Relationship Id="rId124" Type="http://schemas.openxmlformats.org/officeDocument/2006/relationships/revisionLog" Target="revisionLog114.xml"/><Relationship Id="rId310" Type="http://schemas.openxmlformats.org/officeDocument/2006/relationships/revisionLog" Target="revisionLog301.xml"/><Relationship Id="rId70" Type="http://schemas.openxmlformats.org/officeDocument/2006/relationships/revisionLog" Target="revisionLog62.xml"/><Relationship Id="rId91" Type="http://schemas.openxmlformats.org/officeDocument/2006/relationships/revisionLog" Target="revisionLog83.xml"/><Relationship Id="rId145" Type="http://schemas.openxmlformats.org/officeDocument/2006/relationships/revisionLog" Target="revisionLog137.xml"/><Relationship Id="rId166" Type="http://schemas.openxmlformats.org/officeDocument/2006/relationships/revisionLog" Target="revisionLog158.xml"/><Relationship Id="rId187" Type="http://schemas.openxmlformats.org/officeDocument/2006/relationships/revisionLog" Target="revisionLog179.xml"/><Relationship Id="rId331" Type="http://schemas.openxmlformats.org/officeDocument/2006/relationships/revisionLog" Target="revisionLog322.xml"/><Relationship Id="rId352" Type="http://schemas.openxmlformats.org/officeDocument/2006/relationships/revisionLog" Target="revisionLog342.xml"/><Relationship Id="rId373" Type="http://schemas.openxmlformats.org/officeDocument/2006/relationships/revisionLog" Target="revisionLog363.xml"/><Relationship Id="rId212" Type="http://schemas.openxmlformats.org/officeDocument/2006/relationships/revisionLog" Target="revisionLog203.xml"/><Relationship Id="rId233" Type="http://schemas.openxmlformats.org/officeDocument/2006/relationships/revisionLog" Target="revisionLog224.xml"/><Relationship Id="rId254" Type="http://schemas.openxmlformats.org/officeDocument/2006/relationships/revisionLog" Target="revisionLog245.xml"/><Relationship Id="rId28" Type="http://schemas.openxmlformats.org/officeDocument/2006/relationships/revisionLog" Target="revisionLog20.xml"/><Relationship Id="rId49" Type="http://schemas.openxmlformats.org/officeDocument/2006/relationships/revisionLog" Target="revisionLog41.xml"/><Relationship Id="rId114" Type="http://schemas.openxmlformats.org/officeDocument/2006/relationships/revisionLog" Target="revisionLog106.xml"/><Relationship Id="rId275" Type="http://schemas.openxmlformats.org/officeDocument/2006/relationships/revisionLog" Target="revisionLog266.xml"/><Relationship Id="rId296" Type="http://schemas.openxmlformats.org/officeDocument/2006/relationships/revisionLog" Target="revisionLog287.xml"/><Relationship Id="rId300" Type="http://schemas.openxmlformats.org/officeDocument/2006/relationships/revisionLog" Target="revisionLog291.xml"/><Relationship Id="rId60" Type="http://schemas.openxmlformats.org/officeDocument/2006/relationships/revisionLog" Target="revisionLog52.xml"/><Relationship Id="rId81" Type="http://schemas.openxmlformats.org/officeDocument/2006/relationships/revisionLog" Target="revisionLog73.xml"/><Relationship Id="rId135" Type="http://schemas.openxmlformats.org/officeDocument/2006/relationships/revisionLog" Target="revisionLog127.xml"/><Relationship Id="rId156" Type="http://schemas.openxmlformats.org/officeDocument/2006/relationships/revisionLog" Target="revisionLog148.xml"/><Relationship Id="rId177" Type="http://schemas.openxmlformats.org/officeDocument/2006/relationships/revisionLog" Target="revisionLog169.xml"/><Relationship Id="rId198" Type="http://schemas.openxmlformats.org/officeDocument/2006/relationships/revisionLog" Target="revisionLog190.xml"/><Relationship Id="rId321" Type="http://schemas.openxmlformats.org/officeDocument/2006/relationships/revisionLog" Target="revisionLog312.xml"/><Relationship Id="rId342" Type="http://schemas.openxmlformats.org/officeDocument/2006/relationships/revisionLog" Target="revisionLog333.xml"/><Relationship Id="rId363" Type="http://schemas.openxmlformats.org/officeDocument/2006/relationships/revisionLog" Target="revisionLog353.xml"/><Relationship Id="rId384" Type="http://schemas.openxmlformats.org/officeDocument/2006/relationships/revisionLog" Target="revisionLog374.xml"/><Relationship Id="rId202" Type="http://schemas.openxmlformats.org/officeDocument/2006/relationships/revisionLog" Target="revisionLog193.xml"/><Relationship Id="rId223" Type="http://schemas.openxmlformats.org/officeDocument/2006/relationships/revisionLog" Target="revisionLog214.xml"/><Relationship Id="rId244" Type="http://schemas.openxmlformats.org/officeDocument/2006/relationships/revisionLog" Target="revisionLog235.xml"/><Relationship Id="rId18" Type="http://schemas.openxmlformats.org/officeDocument/2006/relationships/revisionLog" Target="revisionLog10.xml"/><Relationship Id="rId39" Type="http://schemas.openxmlformats.org/officeDocument/2006/relationships/revisionLog" Target="revisionLog31.xml"/><Relationship Id="rId265" Type="http://schemas.openxmlformats.org/officeDocument/2006/relationships/revisionLog" Target="revisionLog256.xml"/><Relationship Id="rId286" Type="http://schemas.openxmlformats.org/officeDocument/2006/relationships/revisionLog" Target="revisionLog277.xml"/><Relationship Id="rId50" Type="http://schemas.openxmlformats.org/officeDocument/2006/relationships/revisionLog" Target="revisionLog42.xml"/><Relationship Id="rId104" Type="http://schemas.openxmlformats.org/officeDocument/2006/relationships/revisionLog" Target="revisionLog96.xml"/><Relationship Id="rId125" Type="http://schemas.openxmlformats.org/officeDocument/2006/relationships/revisionLog" Target="revisionLog115.xml"/><Relationship Id="rId146" Type="http://schemas.openxmlformats.org/officeDocument/2006/relationships/revisionLog" Target="revisionLog138.xml"/><Relationship Id="rId167" Type="http://schemas.openxmlformats.org/officeDocument/2006/relationships/revisionLog" Target="revisionLog159.xml"/><Relationship Id="rId188" Type="http://schemas.openxmlformats.org/officeDocument/2006/relationships/revisionLog" Target="revisionLog180.xml"/><Relationship Id="rId311" Type="http://schemas.openxmlformats.org/officeDocument/2006/relationships/revisionLog" Target="revisionLog302.xml"/><Relationship Id="rId332" Type="http://schemas.openxmlformats.org/officeDocument/2006/relationships/revisionLog" Target="revisionLog323.xml"/><Relationship Id="rId353" Type="http://schemas.openxmlformats.org/officeDocument/2006/relationships/revisionLog" Target="revisionLog343.xml"/><Relationship Id="rId374" Type="http://schemas.openxmlformats.org/officeDocument/2006/relationships/revisionLog" Target="revisionLog364.xml"/><Relationship Id="rId71" Type="http://schemas.openxmlformats.org/officeDocument/2006/relationships/revisionLog" Target="revisionLog63.xml"/><Relationship Id="rId92" Type="http://schemas.openxmlformats.org/officeDocument/2006/relationships/revisionLog" Target="revisionLog84.xml"/><Relationship Id="rId213" Type="http://schemas.openxmlformats.org/officeDocument/2006/relationships/revisionLog" Target="revisionLog204.xml"/><Relationship Id="rId234" Type="http://schemas.openxmlformats.org/officeDocument/2006/relationships/revisionLog" Target="revisionLog225.xml"/><Relationship Id="rId29" Type="http://schemas.openxmlformats.org/officeDocument/2006/relationships/revisionLog" Target="revisionLog21.xml"/><Relationship Id="rId255" Type="http://schemas.openxmlformats.org/officeDocument/2006/relationships/revisionLog" Target="revisionLog246.xml"/><Relationship Id="rId276" Type="http://schemas.openxmlformats.org/officeDocument/2006/relationships/revisionLog" Target="revisionLog267.xml"/><Relationship Id="rId297" Type="http://schemas.openxmlformats.org/officeDocument/2006/relationships/revisionLog" Target="revisionLog288.xml"/><Relationship Id="rId40" Type="http://schemas.openxmlformats.org/officeDocument/2006/relationships/revisionLog" Target="revisionLog32.xml"/><Relationship Id="rId115" Type="http://schemas.openxmlformats.org/officeDocument/2006/relationships/revisionLog" Target="revisionLog107.xml"/><Relationship Id="rId136" Type="http://schemas.openxmlformats.org/officeDocument/2006/relationships/revisionLog" Target="revisionLog128.xml"/><Relationship Id="rId157" Type="http://schemas.openxmlformats.org/officeDocument/2006/relationships/revisionLog" Target="revisionLog149.xml"/><Relationship Id="rId178" Type="http://schemas.openxmlformats.org/officeDocument/2006/relationships/revisionLog" Target="revisionLog170.xml"/><Relationship Id="rId301" Type="http://schemas.openxmlformats.org/officeDocument/2006/relationships/revisionLog" Target="revisionLog292.xml"/><Relationship Id="rId322" Type="http://schemas.openxmlformats.org/officeDocument/2006/relationships/revisionLog" Target="revisionLog313.xml"/><Relationship Id="rId343" Type="http://schemas.openxmlformats.org/officeDocument/2006/relationships/revisionLog" Target="revisionLog334.xml"/><Relationship Id="rId364" Type="http://schemas.openxmlformats.org/officeDocument/2006/relationships/revisionLog" Target="revisionLog354.xml"/><Relationship Id="rId61" Type="http://schemas.openxmlformats.org/officeDocument/2006/relationships/revisionLog" Target="revisionLog53.xml"/><Relationship Id="rId82" Type="http://schemas.openxmlformats.org/officeDocument/2006/relationships/revisionLog" Target="revisionLog74.xml"/><Relationship Id="rId199" Type="http://schemas.openxmlformats.org/officeDocument/2006/relationships/revisionLog" Target="revisionLog191.xml"/><Relationship Id="rId203" Type="http://schemas.openxmlformats.org/officeDocument/2006/relationships/revisionLog" Target="revisionLog194.xml"/><Relationship Id="rId385" Type="http://schemas.openxmlformats.org/officeDocument/2006/relationships/revisionLog" Target="revisionLog375.xml"/><Relationship Id="rId19" Type="http://schemas.openxmlformats.org/officeDocument/2006/relationships/revisionLog" Target="revisionLog139.xml"/><Relationship Id="rId224" Type="http://schemas.openxmlformats.org/officeDocument/2006/relationships/revisionLog" Target="revisionLog215.xml"/><Relationship Id="rId245" Type="http://schemas.openxmlformats.org/officeDocument/2006/relationships/revisionLog" Target="revisionLog236.xml"/><Relationship Id="rId266" Type="http://schemas.openxmlformats.org/officeDocument/2006/relationships/revisionLog" Target="revisionLog257.xml"/><Relationship Id="rId287" Type="http://schemas.openxmlformats.org/officeDocument/2006/relationships/revisionLog" Target="revisionLog278.xml"/><Relationship Id="rId30" Type="http://schemas.openxmlformats.org/officeDocument/2006/relationships/revisionLog" Target="revisionLog22.xml"/><Relationship Id="rId105" Type="http://schemas.openxmlformats.org/officeDocument/2006/relationships/revisionLog" Target="revisionLog97.xml"/><Relationship Id="rId126" Type="http://schemas.openxmlformats.org/officeDocument/2006/relationships/revisionLog" Target="revisionLog116.xml"/><Relationship Id="rId147" Type="http://schemas.openxmlformats.org/officeDocument/2006/relationships/revisionLog" Target="revisionLog1391.xml"/><Relationship Id="rId168" Type="http://schemas.openxmlformats.org/officeDocument/2006/relationships/revisionLog" Target="revisionLog160.xml"/><Relationship Id="rId312" Type="http://schemas.openxmlformats.org/officeDocument/2006/relationships/revisionLog" Target="revisionLog303.xml"/><Relationship Id="rId333" Type="http://schemas.openxmlformats.org/officeDocument/2006/relationships/revisionLog" Target="revisionLog324.xml"/><Relationship Id="rId354" Type="http://schemas.openxmlformats.org/officeDocument/2006/relationships/revisionLog" Target="revisionLog344.xml"/><Relationship Id="rId51" Type="http://schemas.openxmlformats.org/officeDocument/2006/relationships/revisionLog" Target="revisionLog43.xml"/><Relationship Id="rId72" Type="http://schemas.openxmlformats.org/officeDocument/2006/relationships/revisionLog" Target="revisionLog64.xml"/><Relationship Id="rId93" Type="http://schemas.openxmlformats.org/officeDocument/2006/relationships/revisionLog" Target="revisionLog85.xml"/><Relationship Id="rId189" Type="http://schemas.openxmlformats.org/officeDocument/2006/relationships/revisionLog" Target="revisionLog181.xml"/><Relationship Id="rId375" Type="http://schemas.openxmlformats.org/officeDocument/2006/relationships/revisionLog" Target="revisionLog365.xml"/><Relationship Id="rId214" Type="http://schemas.openxmlformats.org/officeDocument/2006/relationships/revisionLog" Target="revisionLog205.xml"/><Relationship Id="rId235" Type="http://schemas.openxmlformats.org/officeDocument/2006/relationships/revisionLog" Target="revisionLog226.xml"/><Relationship Id="rId256" Type="http://schemas.openxmlformats.org/officeDocument/2006/relationships/revisionLog" Target="revisionLog247.xml"/><Relationship Id="rId277" Type="http://schemas.openxmlformats.org/officeDocument/2006/relationships/revisionLog" Target="revisionLog268.xml"/><Relationship Id="rId298" Type="http://schemas.openxmlformats.org/officeDocument/2006/relationships/revisionLog" Target="revisionLog289.xml"/><Relationship Id="rId116" Type="http://schemas.openxmlformats.org/officeDocument/2006/relationships/revisionLog" Target="revisionLog108.xml"/><Relationship Id="rId137" Type="http://schemas.openxmlformats.org/officeDocument/2006/relationships/revisionLog" Target="revisionLog129.xml"/><Relationship Id="rId158" Type="http://schemas.openxmlformats.org/officeDocument/2006/relationships/revisionLog" Target="revisionLog150.xml"/><Relationship Id="rId302" Type="http://schemas.openxmlformats.org/officeDocument/2006/relationships/revisionLog" Target="revisionLog293.xml"/><Relationship Id="rId323" Type="http://schemas.openxmlformats.org/officeDocument/2006/relationships/revisionLog" Target="revisionLog314.xml"/><Relationship Id="rId344" Type="http://schemas.openxmlformats.org/officeDocument/2006/relationships/revisionLog" Target="revisionLog335.xml"/><Relationship Id="rId20" Type="http://schemas.openxmlformats.org/officeDocument/2006/relationships/revisionLog" Target="revisionLog145.xml"/><Relationship Id="rId41" Type="http://schemas.openxmlformats.org/officeDocument/2006/relationships/revisionLog" Target="revisionLog33.xml"/><Relationship Id="rId62" Type="http://schemas.openxmlformats.org/officeDocument/2006/relationships/revisionLog" Target="revisionLog54.xml"/><Relationship Id="rId83" Type="http://schemas.openxmlformats.org/officeDocument/2006/relationships/revisionLog" Target="revisionLog75.xml"/><Relationship Id="rId179" Type="http://schemas.openxmlformats.org/officeDocument/2006/relationships/revisionLog" Target="revisionLog171.xml"/><Relationship Id="rId365" Type="http://schemas.openxmlformats.org/officeDocument/2006/relationships/revisionLog" Target="revisionLog355.xml"/><Relationship Id="rId386" Type="http://schemas.openxmlformats.org/officeDocument/2006/relationships/revisionLog" Target="revisionLog376.xml"/><Relationship Id="rId190" Type="http://schemas.openxmlformats.org/officeDocument/2006/relationships/revisionLog" Target="revisionLog182.xml"/><Relationship Id="rId204" Type="http://schemas.openxmlformats.org/officeDocument/2006/relationships/revisionLog" Target="revisionLog195.xml"/><Relationship Id="rId225" Type="http://schemas.openxmlformats.org/officeDocument/2006/relationships/revisionLog" Target="revisionLog216.xml"/><Relationship Id="rId246" Type="http://schemas.openxmlformats.org/officeDocument/2006/relationships/revisionLog" Target="revisionLog237.xml"/><Relationship Id="rId267" Type="http://schemas.openxmlformats.org/officeDocument/2006/relationships/revisionLog" Target="revisionLog258.xml"/><Relationship Id="rId288" Type="http://schemas.openxmlformats.org/officeDocument/2006/relationships/revisionLog" Target="revisionLog279.xml"/><Relationship Id="rId106" Type="http://schemas.openxmlformats.org/officeDocument/2006/relationships/revisionLog" Target="revisionLog98.xml"/><Relationship Id="rId127" Type="http://schemas.openxmlformats.org/officeDocument/2006/relationships/revisionLog" Target="revisionLog117.xml"/><Relationship Id="rId313" Type="http://schemas.openxmlformats.org/officeDocument/2006/relationships/revisionLog" Target="revisionLog304.xml"/><Relationship Id="rId10" Type="http://schemas.openxmlformats.org/officeDocument/2006/relationships/revisionLog" Target="revisionLog1211.xml"/><Relationship Id="rId31" Type="http://schemas.openxmlformats.org/officeDocument/2006/relationships/revisionLog" Target="revisionLog23.xml"/><Relationship Id="rId52" Type="http://schemas.openxmlformats.org/officeDocument/2006/relationships/revisionLog" Target="revisionLog44.xml"/><Relationship Id="rId73" Type="http://schemas.openxmlformats.org/officeDocument/2006/relationships/revisionLog" Target="revisionLog65.xml"/><Relationship Id="rId94" Type="http://schemas.openxmlformats.org/officeDocument/2006/relationships/revisionLog" Target="revisionLog86.xml"/><Relationship Id="rId148" Type="http://schemas.openxmlformats.org/officeDocument/2006/relationships/revisionLog" Target="revisionLog140.xml"/><Relationship Id="rId169" Type="http://schemas.openxmlformats.org/officeDocument/2006/relationships/revisionLog" Target="revisionLog161.xml"/><Relationship Id="rId334" Type="http://schemas.openxmlformats.org/officeDocument/2006/relationships/revisionLog" Target="revisionLog325.xml"/><Relationship Id="rId355" Type="http://schemas.openxmlformats.org/officeDocument/2006/relationships/revisionLog" Target="revisionLog345.xml"/><Relationship Id="rId376" Type="http://schemas.openxmlformats.org/officeDocument/2006/relationships/revisionLog" Target="revisionLog366.xml"/><Relationship Id="rId180" Type="http://schemas.openxmlformats.org/officeDocument/2006/relationships/revisionLog" Target="revisionLog172.xml"/><Relationship Id="rId215" Type="http://schemas.openxmlformats.org/officeDocument/2006/relationships/revisionLog" Target="revisionLog206.xml"/><Relationship Id="rId236" Type="http://schemas.openxmlformats.org/officeDocument/2006/relationships/revisionLog" Target="revisionLog227.xml"/><Relationship Id="rId257" Type="http://schemas.openxmlformats.org/officeDocument/2006/relationships/revisionLog" Target="revisionLog248.xml"/><Relationship Id="rId278" Type="http://schemas.openxmlformats.org/officeDocument/2006/relationships/revisionLog" Target="revisionLog269.xml"/><Relationship Id="rId303" Type="http://schemas.openxmlformats.org/officeDocument/2006/relationships/revisionLog" Target="revisionLog294.xml"/></Relationships>
</file>

<file path=xl/revisions/revisionHeaders.xml><?xml version="1.0" encoding="utf-8"?>
<headers xmlns="http://schemas.openxmlformats.org/spreadsheetml/2006/main" xmlns:r="http://schemas.openxmlformats.org/officeDocument/2006/relationships" guid="{30770520-C9EE-4D5D-A4BB-BC051998F4C4}" diskRevisions="1" revisionId="6088" version="385">
  <header guid="{23465155-9D86-4123-B8B6-780618B828F3}" dateTime="2024-01-23T10:20:01" maxSheetId="2" userName="Молчанова Елена Валерьевна" r:id="rId6" minRId="2461" maxRId="2567">
    <sheetIdMap count="1">
      <sheetId val="1"/>
    </sheetIdMap>
  </header>
  <header guid="{78854DC3-3AFD-448B-8455-FE345F9BA472}" dateTime="2024-01-23T10:24:03" maxSheetId="2" userName="Молчанова Елена Валерьевна" r:id="rId7" minRId="2568">
    <sheetIdMap count="1">
      <sheetId val="1"/>
    </sheetIdMap>
  </header>
  <header guid="{0B9CCE9E-D5BE-4CDF-BD1D-5755775E3127}" dateTime="2024-01-23T10:54:21" maxSheetId="2" userName="Молчанова Елена Валерьевна" r:id="rId8" minRId="2570" maxRId="2596">
    <sheetIdMap count="1">
      <sheetId val="1"/>
    </sheetIdMap>
  </header>
  <header guid="{0600CAD4-5936-47CD-B4DD-701DB82E2315}" dateTime="2024-01-23T12:24:31" maxSheetId="2" userName="Молчанова Елена Валерьевна" r:id="rId9" minRId="2598" maxRId="2685">
    <sheetIdMap count="1">
      <sheetId val="1"/>
    </sheetIdMap>
  </header>
  <header guid="{ED951805-07D8-4C40-BFF7-22644DC17261}" dateTime="2024-01-23T12:38:21" maxSheetId="2" userName="Молчанова Елена Валерьевна" r:id="rId10" minRId="2687">
    <sheetIdMap count="1">
      <sheetId val="1"/>
    </sheetIdMap>
  </header>
  <header guid="{8BD4C38E-B172-446C-B4EC-869040C778B5}" dateTime="2024-01-23T15:25:06" maxSheetId="2" userName="Молчанова Елена Валерьевна" r:id="rId11" minRId="2689" maxRId="2710">
    <sheetIdMap count="1">
      <sheetId val="1"/>
    </sheetIdMap>
  </header>
  <header guid="{D852EFC8-A019-45B6-8FA0-2CD7413D8979}" dateTime="2024-01-23T16:29:36" maxSheetId="2" userName="Молчанова Елена Валерьевна" r:id="rId12" minRId="2712" maxRId="2723">
    <sheetIdMap count="1">
      <sheetId val="1"/>
    </sheetIdMap>
  </header>
  <header guid="{EAA151E7-24F9-4500-B83C-D69E088450D3}" dateTime="2024-01-29T11:59:12" maxSheetId="2" userName="Латышева Ольга Яковлевна" r:id="rId13" minRId="2725">
    <sheetIdMap count="1">
      <sheetId val="1"/>
    </sheetIdMap>
  </header>
  <header guid="{6B9B9213-09C6-4E84-B5B1-B04FEF6E2B2B}" dateTime="2024-01-29T12:22:24" maxSheetId="2" userName="Латышева Ольга Яковлевна" r:id="rId14" minRId="2729" maxRId="2740">
    <sheetIdMap count="1">
      <sheetId val="1"/>
    </sheetIdMap>
  </header>
  <header guid="{F8B14146-B8C5-4688-9955-70111A156A2B}" dateTime="2024-01-30T16:26:27" maxSheetId="2" userName="Латышева Ольга Яковлевна" r:id="rId15" minRId="2744" maxRId="2770">
    <sheetIdMap count="1">
      <sheetId val="1"/>
    </sheetIdMap>
  </header>
  <header guid="{FDEAFE00-59D8-42A2-BD26-8367E3B827F3}" dateTime="2024-01-30T16:28:37" maxSheetId="2" userName="Латышева Ольга Яковлевна" r:id="rId16" minRId="2774" maxRId="2776">
    <sheetIdMap count="1">
      <sheetId val="1"/>
    </sheetIdMap>
  </header>
  <header guid="{1B8576F0-D646-4319-8AF0-6D2776C3C5EA}" dateTime="2024-01-30T16:29:19" maxSheetId="2" userName="Латышева Ольга Яковлевна" r:id="rId17" minRId="2777">
    <sheetIdMap count="1">
      <sheetId val="1"/>
    </sheetIdMap>
  </header>
  <header guid="{34A2E863-2C34-4BB7-A928-9407ABF90734}" dateTime="2024-01-30T16:35:43" maxSheetId="2" userName="Латышева Ольга Яковлевна" r:id="rId18" minRId="2778">
    <sheetIdMap count="1">
      <sheetId val="1"/>
    </sheetIdMap>
  </header>
  <header guid="{66798DA1-9354-4CE2-BCC6-46847EE237F2}" dateTime="2024-01-30T16:40:26" maxSheetId="2" userName="Латышева Ольга Яковлевна" r:id="rId19" minRId="2779" maxRId="2802">
    <sheetIdMap count="1">
      <sheetId val="1"/>
    </sheetIdMap>
  </header>
  <header guid="{A92A034C-CA08-44B7-BBE3-0755D7E35E46}" dateTime="2024-01-30T16:45:24" maxSheetId="2" userName="Латышева Ольга Яковлевна" r:id="rId20">
    <sheetIdMap count="1">
      <sheetId val="1"/>
    </sheetIdMap>
  </header>
  <header guid="{D0E1C4BF-EDAF-4618-B571-FDED1B1352A4}" dateTime="2024-02-02T14:57:20" maxSheetId="2" userName="Латышева Ольга Яковлевна" r:id="rId21">
    <sheetIdMap count="1">
      <sheetId val="1"/>
    </sheetIdMap>
  </header>
  <header guid="{4C0D1106-43D6-4C30-9E20-ED2DD178A972}" dateTime="2024-02-05T11:10:47" maxSheetId="2" userName="Молчанова Елена Валерьевна" r:id="rId22" minRId="2812" maxRId="2813">
    <sheetIdMap count="1">
      <sheetId val="1"/>
    </sheetIdMap>
  </header>
  <header guid="{68203067-6F10-41AF-A936-ACAB199C5B9A}" dateTime="2024-02-13T12:48:09" maxSheetId="2" userName="Латышева Ольга Яковлевна" r:id="rId23">
    <sheetIdMap count="1">
      <sheetId val="1"/>
    </sheetIdMap>
  </header>
  <header guid="{EE675710-BB1C-4E07-9685-55B66D58CDEE}" dateTime="2024-02-13T12:52:02" maxSheetId="2" userName="Латышева Ольга Яковлевна" r:id="rId24">
    <sheetIdMap count="1">
      <sheetId val="1"/>
    </sheetIdMap>
  </header>
  <header guid="{ADD40FDD-3FF1-4212-ACFF-882E91A775D3}" dateTime="2024-02-14T15:50:26" maxSheetId="2" userName="Третьякова Елена Владимировна" r:id="rId25" minRId="2821" maxRId="2823">
    <sheetIdMap count="1">
      <sheetId val="1"/>
    </sheetIdMap>
  </header>
  <header guid="{41DCCBDA-CD78-4987-9362-DA584413CAE8}" dateTime="2024-03-27T16:48:50" maxSheetId="2" userName="Третьякова Елена Владимировна" r:id="rId26" minRId="2827" maxRId="2828">
    <sheetIdMap count="1">
      <sheetId val="1"/>
    </sheetIdMap>
  </header>
  <header guid="{4F30D266-FEA2-4BD1-9A2F-FCB69137FFD0}" dateTime="2024-03-29T09:01:33" maxSheetId="2" userName="Третьякова Елена Владимировна" r:id="rId27" minRId="2832" maxRId="2849">
    <sheetIdMap count="1">
      <sheetId val="1"/>
    </sheetIdMap>
  </header>
  <header guid="{26FD59A0-B91E-4F90-92C7-3E83E56C8C60}" dateTime="2024-03-29T09:02:52" maxSheetId="2" userName="Третьякова Елена Владимировна" r:id="rId28" minRId="2853" maxRId="2856">
    <sheetIdMap count="1">
      <sheetId val="1"/>
    </sheetIdMap>
  </header>
  <header guid="{5395BB13-B799-43F4-B478-C396154E1C82}" dateTime="2024-03-29T09:04:46" maxSheetId="2" userName="Третьякова Елена Владимировна" r:id="rId29" minRId="2857" maxRId="2874">
    <sheetIdMap count="1">
      <sheetId val="1"/>
    </sheetIdMap>
  </header>
  <header guid="{6A9DE728-C463-4D4E-A668-AC39180BEF12}" dateTime="2024-03-29T09:07:19" maxSheetId="2" userName="Третьякова Елена Владимировна" r:id="rId30" minRId="2878" maxRId="2910">
    <sheetIdMap count="1">
      <sheetId val="1"/>
    </sheetIdMap>
  </header>
  <header guid="{1F15BF8C-A19C-45FA-A862-CF486CF5D2C4}" dateTime="2024-03-29T09:07:50" maxSheetId="2" userName="Третьякова Елена Владимировна" r:id="rId31" minRId="2914" maxRId="2916">
    <sheetIdMap count="1">
      <sheetId val="1"/>
    </sheetIdMap>
  </header>
  <header guid="{8CC719BC-7C34-49C3-9083-4C61FE43CF05}" dateTime="2024-03-29T09:08:11" maxSheetId="2" userName="Третьякова Елена Владимировна" r:id="rId32" minRId="2917" maxRId="2925">
    <sheetIdMap count="1">
      <sheetId val="1"/>
    </sheetIdMap>
  </header>
  <header guid="{B820CF74-27D8-48DC-8AF2-377271D6571D}" dateTime="2024-03-29T09:13:35" maxSheetId="2" userName="Третьякова Елена Владимировна" r:id="rId33" minRId="2926" maxRId="2977">
    <sheetIdMap count="1">
      <sheetId val="1"/>
    </sheetIdMap>
  </header>
  <header guid="{9AAA7DA6-6E3D-4E1C-92C9-68971D4F6FEE}" dateTime="2024-03-29T09:15:44" maxSheetId="2" userName="Третьякова Елена Владимировна" r:id="rId34" minRId="2981" maxRId="2992">
    <sheetIdMap count="1">
      <sheetId val="1"/>
    </sheetIdMap>
  </header>
  <header guid="{7A6C755E-6DAB-4796-B3FF-9D10F398174F}" dateTime="2024-03-29T09:20:10" maxSheetId="2" userName="Третьякова Елена Владимировна" r:id="rId35" minRId="2996" maxRId="3035">
    <sheetIdMap count="1">
      <sheetId val="1"/>
    </sheetIdMap>
  </header>
  <header guid="{C6852DF4-6A1D-40E1-B8DD-F5C352C2E284}" dateTime="2024-03-29T09:22:17" maxSheetId="2" userName="Третьякова Елена Владимировна" r:id="rId36" minRId="3039" maxRId="3065">
    <sheetIdMap count="1">
      <sheetId val="1"/>
    </sheetIdMap>
  </header>
  <header guid="{2F5E5448-B3C5-407E-B5CF-9AC19D22EF43}" dateTime="2024-03-29T09:24:36" maxSheetId="2" userName="Третьякова Елена Владимировна" r:id="rId37" minRId="3069" maxRId="3095">
    <sheetIdMap count="1">
      <sheetId val="1"/>
    </sheetIdMap>
  </header>
  <header guid="{1CBACE8F-0E05-43CF-98E8-1EC703BFB33A}" dateTime="2024-03-29T09:41:00" maxSheetId="2" userName="Третьякова Елена Владимировна" r:id="rId38" minRId="3096" maxRId="3122">
    <sheetIdMap count="1">
      <sheetId val="1"/>
    </sheetIdMap>
  </header>
  <header guid="{7157FE20-2C8F-4679-A351-92B799BC4339}" dateTime="2024-03-29T09:45:21" maxSheetId="2" userName="Третьякова Елена Владимировна" r:id="rId39" minRId="3126" maxRId="3155">
    <sheetIdMap count="1">
      <sheetId val="1"/>
    </sheetIdMap>
  </header>
  <header guid="{76879412-D78C-4BE3-8C6F-D2FB3796BF5B}" dateTime="2024-03-29T09:45:51" maxSheetId="2" userName="Третьякова Елена Владимировна" r:id="rId40" minRId="3156" maxRId="3158">
    <sheetIdMap count="1">
      <sheetId val="1"/>
    </sheetIdMap>
  </header>
  <header guid="{05E11260-45C7-40C0-9747-BCCEC80217E7}" dateTime="2024-03-29T09:50:29" maxSheetId="2" userName="Третьякова Елена Владимировна" r:id="rId41" minRId="3159" maxRId="3185">
    <sheetIdMap count="1">
      <sheetId val="1"/>
    </sheetIdMap>
  </header>
  <header guid="{EB659076-97A4-4342-B4DC-8F0FA204BCAB}" dateTime="2024-03-29T09:51:16" maxSheetId="2" userName="Третьякова Елена Владимировна" r:id="rId42" minRId="3189" maxRId="3192">
    <sheetIdMap count="1">
      <sheetId val="1"/>
    </sheetIdMap>
  </header>
  <header guid="{D9F14560-A7CD-44CD-A26F-6FE6F53F28C1}" dateTime="2024-03-29T09:55:38" maxSheetId="2" userName="Третьякова Елена Владимировна" r:id="rId43" minRId="3193" maxRId="3219">
    <sheetIdMap count="1">
      <sheetId val="1"/>
    </sheetIdMap>
  </header>
  <header guid="{4592F739-4599-4406-9992-B7F16563317A}" dateTime="2024-03-29T09:56:38" maxSheetId="2" userName="Третьякова Елена Владимировна" r:id="rId44" minRId="3223" maxRId="3226">
    <sheetIdMap count="1">
      <sheetId val="1"/>
    </sheetIdMap>
  </header>
  <header guid="{C4BE0E14-3DE4-4B2B-A66A-0EA95DB509C5}" dateTime="2024-03-29T09:57:14" maxSheetId="2" userName="Третьякова Елена Владимировна" r:id="rId45" minRId="3230" maxRId="3233">
    <sheetIdMap count="1">
      <sheetId val="1"/>
    </sheetIdMap>
  </header>
  <header guid="{573FC185-E1D0-4051-926B-2DB038D72237}" dateTime="2024-03-29T09:59:28" maxSheetId="2" userName="Третьякова Елена Владимировна" r:id="rId46" minRId="3234" maxRId="3235">
    <sheetIdMap count="1">
      <sheetId val="1"/>
    </sheetIdMap>
  </header>
  <header guid="{8359D017-156C-4FFE-8691-647F0C2B6BAB}" dateTime="2024-03-29T10:12:18" maxSheetId="2" userName="Третьякова Елена Владимировна" r:id="rId47" minRId="3239" maxRId="3291">
    <sheetIdMap count="1">
      <sheetId val="1"/>
    </sheetIdMap>
  </header>
  <header guid="{A9E78CFA-967D-4B5C-A1CE-3D7C8397E334}" dateTime="2024-03-29T10:15:40" maxSheetId="2" userName="Третьякова Елена Владимировна" r:id="rId48" minRId="3295" maxRId="3321">
    <sheetIdMap count="1">
      <sheetId val="1"/>
    </sheetIdMap>
  </header>
  <header guid="{FB0762EF-7BAB-4BBB-9C08-A13DE66207DB}" dateTime="2024-03-29T10:18:22" maxSheetId="2" userName="Третьякова Елена Владимировна" r:id="rId49" minRId="3322" maxRId="3343">
    <sheetIdMap count="1">
      <sheetId val="1"/>
    </sheetIdMap>
  </header>
  <header guid="{0058DD1A-490C-44ED-8C43-1E3E47A5FA50}" dateTime="2024-03-29T10:27:46" maxSheetId="2" userName="Третьякова Елена Владимировна" r:id="rId50" minRId="3347" maxRId="3368">
    <sheetIdMap count="1">
      <sheetId val="1"/>
    </sheetIdMap>
  </header>
  <header guid="{8ABD33DD-B514-44ED-A677-C9294B14DBA6}" dateTime="2024-03-29T10:27:53" maxSheetId="2" userName="Третьякова Елена Владимировна" r:id="rId51">
    <sheetIdMap count="1">
      <sheetId val="1"/>
    </sheetIdMap>
  </header>
  <header guid="{6549A8E9-A6E7-44EE-BE11-194F88B3D4A3}" dateTime="2024-04-01T11:54:51" maxSheetId="2" userName="Третьякова Елена Владимировна" r:id="rId52" minRId="3372" maxRId="3436">
    <sheetIdMap count="1">
      <sheetId val="1"/>
    </sheetIdMap>
  </header>
  <header guid="{475EF2DE-FF4E-48B5-94CB-67C33EDB0AF1}" dateTime="2024-04-01T11:58:48" maxSheetId="2" userName="Третьякова Елена Владимировна" r:id="rId53" minRId="3440" maxRId="3459">
    <sheetIdMap count="1">
      <sheetId val="1"/>
    </sheetIdMap>
  </header>
  <header guid="{0E0AB3D9-7541-4F39-8A98-BB25F3A170CD}" dateTime="2024-04-01T11:58:54" maxSheetId="2" userName="Третьякова Елена Владимировна" r:id="rId54">
    <sheetIdMap count="1">
      <sheetId val="1"/>
    </sheetIdMap>
  </header>
  <header guid="{E22B3282-63E5-4F7F-92F0-383ACD28D522}" dateTime="2024-04-01T11:59:25" maxSheetId="2" userName="Третьякова Елена Владимировна" r:id="rId55" minRId="3463" maxRId="3474">
    <sheetIdMap count="1">
      <sheetId val="1"/>
    </sheetIdMap>
  </header>
  <header guid="{4E4BBCF2-2BCC-4CFD-9A4B-EA45A0E9E9B2}" dateTime="2024-04-01T12:06:50" maxSheetId="2" userName="Третьякова Елена Владимировна" r:id="rId56" minRId="3475" maxRId="3536">
    <sheetIdMap count="1">
      <sheetId val="1"/>
    </sheetIdMap>
  </header>
  <header guid="{ECF683C0-1548-4407-BCBA-72DA6919CCFE}" dateTime="2024-04-01T12:07:44" maxSheetId="2" userName="Третьякова Елена Владимировна" r:id="rId57">
    <sheetIdMap count="1">
      <sheetId val="1"/>
    </sheetIdMap>
  </header>
  <header guid="{A173E06F-1E8A-44F2-8567-DBFFBA46D07A}" dateTime="2024-04-01T12:23:02" maxSheetId="2" userName="Третьякова Елена Владимировна" r:id="rId58" minRId="3540" maxRId="3551">
    <sheetIdMap count="1">
      <sheetId val="1"/>
    </sheetIdMap>
  </header>
  <header guid="{6788F4E8-7562-4F07-94BA-0B1D1741AE84}" dateTime="2024-04-01T12:24:34" maxSheetId="2" userName="Третьякова Елена Владимировна" r:id="rId59" minRId="3555" maxRId="3573">
    <sheetIdMap count="1">
      <sheetId val="1"/>
    </sheetIdMap>
  </header>
  <header guid="{080B837C-B804-40C7-9814-BD329C26B6E0}" dateTime="2024-04-01T12:24:41" maxSheetId="2" userName="Третьякова Елена Владимировна" r:id="rId60">
    <sheetIdMap count="1">
      <sheetId val="1"/>
    </sheetIdMap>
  </header>
  <header guid="{573A625B-D417-4354-894D-CA7C26E51508}" dateTime="2024-04-02T10:50:15" maxSheetId="2" userName="Третьякова Елена Владимировна" r:id="rId61" minRId="3577" maxRId="3603">
    <sheetIdMap count="1">
      <sheetId val="1"/>
    </sheetIdMap>
  </header>
  <header guid="{079EF7BE-77B0-4450-9D53-36DB5A607153}" dateTime="2024-04-02T10:50:41" maxSheetId="2" userName="Третьякова Елена Владимировна" r:id="rId62" minRId="3607">
    <sheetIdMap count="1">
      <sheetId val="1"/>
    </sheetIdMap>
  </header>
  <header guid="{C3AF91EF-ECE2-4857-A10D-CA0A61383432}" dateTime="2024-04-02T15:53:37" maxSheetId="2" userName="Третьякова Елена Владимировна" r:id="rId63" minRId="3608" maxRId="3632">
    <sheetIdMap count="1">
      <sheetId val="1"/>
    </sheetIdMap>
  </header>
  <header guid="{B2D85D98-353F-48E2-8ED8-DB68EB983319}" dateTime="2024-04-02T16:02:30" maxSheetId="2" userName="Третьякова Елена Владимировна" r:id="rId64" minRId="3636" maxRId="3666">
    <sheetIdMap count="1">
      <sheetId val="1"/>
    </sheetIdMap>
  </header>
  <header guid="{9FFDF787-24CD-40A6-8399-95600E3E9E99}" dateTime="2024-04-02T16:05:27" maxSheetId="2" userName="Третьякова Елена Владимировна" r:id="rId65" minRId="3670" maxRId="3682">
    <sheetIdMap count="1">
      <sheetId val="1"/>
    </sheetIdMap>
  </header>
  <header guid="{C48C7000-4AE8-433A-A296-73A20D10B929}" dateTime="2024-04-02T16:23:14" maxSheetId="2" userName="Третьякова Елена Владимировна" r:id="rId66" minRId="3683" maxRId="3695">
    <sheetIdMap count="1">
      <sheetId val="1"/>
    </sheetIdMap>
  </header>
  <header guid="{0BDDC6C7-DD00-44FC-BD26-BB0F4EAB71E3}" dateTime="2024-04-02T16:24:52" maxSheetId="2" userName="Третьякова Елена Владимировна" r:id="rId67" minRId="3696" maxRId="3697">
    <sheetIdMap count="1">
      <sheetId val="1"/>
    </sheetIdMap>
  </header>
  <header guid="{BE57178D-926C-4119-B7C2-10FF1DCC12C5}" dateTime="2024-04-02T16:32:21" maxSheetId="2" userName="Третьякова Елена Владимировна" r:id="rId68" minRId="3698" maxRId="3710">
    <sheetIdMap count="1">
      <sheetId val="1"/>
    </sheetIdMap>
  </header>
  <header guid="{42BCDC78-636F-4534-AEBB-021D181E5B6E}" dateTime="2024-04-02T16:34:40" maxSheetId="2" userName="Третьякова Елена Владимировна" r:id="rId69" minRId="3711" maxRId="3716">
    <sheetIdMap count="1">
      <sheetId val="1"/>
    </sheetIdMap>
  </header>
  <header guid="{4879F60E-CC8B-4497-BA87-F46E358DB570}" dateTime="2024-04-02T16:35:19" maxSheetId="2" userName="Третьякова Елена Владимировна" r:id="rId70" minRId="3717" maxRId="3718">
    <sheetIdMap count="1">
      <sheetId val="1"/>
    </sheetIdMap>
  </header>
  <header guid="{2671F273-A890-4D31-8ADC-417AC33228C3}" dateTime="2024-04-02T16:39:05" maxSheetId="2" userName="Третьякова Елена Владимировна" r:id="rId71" minRId="3719" maxRId="3722">
    <sheetIdMap count="1">
      <sheetId val="1"/>
    </sheetIdMap>
  </header>
  <header guid="{BA6EFC18-9553-419F-8ADF-6FFAB0EB4970}" dateTime="2024-04-02T16:42:43" maxSheetId="2" userName="Третьякова Елена Владимировна" r:id="rId72" minRId="3723" maxRId="3726">
    <sheetIdMap count="1">
      <sheetId val="1"/>
    </sheetIdMap>
  </header>
  <header guid="{818C42BB-11AB-4E51-A1EE-B34E7B2FFACC}" dateTime="2024-04-02T16:53:02" maxSheetId="2" userName="Третьякова Елена Владимировна" r:id="rId73" minRId="3727" maxRId="3743">
    <sheetIdMap count="1">
      <sheetId val="1"/>
    </sheetIdMap>
  </header>
  <header guid="{3E87FAEF-B295-4EE7-968C-03664D7A0A21}" dateTime="2024-04-02T17:03:21" maxSheetId="2" userName="Третьякова Елена Владимировна" r:id="rId74" minRId="3744" maxRId="3796">
    <sheetIdMap count="1">
      <sheetId val="1"/>
    </sheetIdMap>
  </header>
  <header guid="{DFCA4040-162D-4F10-B9BF-C41F6BC0DE8B}" dateTime="2024-04-02T17:06:00" maxSheetId="2" userName="Третьякова Елена Владимировна" r:id="rId75" minRId="3800" maxRId="3816">
    <sheetIdMap count="1">
      <sheetId val="1"/>
    </sheetIdMap>
  </header>
  <header guid="{8DE8D382-26CF-469C-A552-FAA12ED3FE72}" dateTime="2024-04-02T17:07:28" maxSheetId="2" userName="Третьякова Елена Владимировна" r:id="rId76" minRId="3820">
    <sheetIdMap count="1">
      <sheetId val="1"/>
    </sheetIdMap>
  </header>
  <header guid="{8FCF5546-F39C-4427-9D59-D14B398F27B6}" dateTime="2024-04-02T17:11:26" maxSheetId="2" userName="Третьякова Елена Владимировна" r:id="rId77" minRId="3821" maxRId="3824">
    <sheetIdMap count="1">
      <sheetId val="1"/>
    </sheetIdMap>
  </header>
  <header guid="{4E5FDB5F-B1A6-4D52-BD56-F29C965D2CED}" dateTime="2024-04-02T17:14:50" maxSheetId="2" userName="Третьякова Елена Владимировна" r:id="rId78" minRId="3825" maxRId="3828">
    <sheetIdMap count="1">
      <sheetId val="1"/>
    </sheetIdMap>
  </header>
  <header guid="{D6F74707-A8FA-4AA9-A09D-023BBD9E75A4}" dateTime="2024-04-02T17:17:36" maxSheetId="2" userName="Третьякова Елена Владимировна" r:id="rId79" minRId="3829">
    <sheetIdMap count="1">
      <sheetId val="1"/>
    </sheetIdMap>
  </header>
  <header guid="{A75CAC3F-DF81-46D1-99FA-0C757E37A578}" dateTime="2024-04-02T17:22:17" maxSheetId="2" userName="Третьякова Елена Владимировна" r:id="rId80" minRId="3833" maxRId="3839">
    <sheetIdMap count="1">
      <sheetId val="1"/>
    </sheetIdMap>
  </header>
  <header guid="{6EB7CF48-C528-40E4-82D7-74ECFCBD8F70}" dateTime="2024-04-02T17:26:07" maxSheetId="2" userName="Третьякова Елена Владимировна" r:id="rId81" minRId="3840" maxRId="3842">
    <sheetIdMap count="1">
      <sheetId val="1"/>
    </sheetIdMap>
  </header>
  <header guid="{303AE895-4059-4600-84DA-E5B469844DC7}" dateTime="2024-04-02T17:36:33" maxSheetId="2" userName="Третьякова Елена Владимировна" r:id="rId82" minRId="3843" maxRId="3844">
    <sheetIdMap count="1">
      <sheetId val="1"/>
    </sheetIdMap>
  </header>
  <header guid="{E1BAB8F0-39CB-4F39-8CB0-6F395B2E455E}" dateTime="2024-04-02T17:37:01" maxSheetId="2" userName="Третьякова Елена Владимировна" r:id="rId83" minRId="3845">
    <sheetIdMap count="1">
      <sheetId val="1"/>
    </sheetIdMap>
  </header>
  <header guid="{55468A0A-D8E8-4148-85B4-F9DE41DEB820}" dateTime="2024-04-04T10:47:27" maxSheetId="2" userName="Латышева Ольга Яковлевна" r:id="rId84" minRId="3846" maxRId="3847">
    <sheetIdMap count="1">
      <sheetId val="1"/>
    </sheetIdMap>
  </header>
  <header guid="{F0C42ABB-13CE-4ACD-9997-30AD847418CB}" dateTime="2024-04-18T15:45:58" maxSheetId="2" userName="Третьякова Елена Владимировна" r:id="rId85" minRId="3848">
    <sheetIdMap count="1">
      <sheetId val="1"/>
    </sheetIdMap>
  </header>
  <header guid="{07CB7283-F366-400C-9A4A-E38C948E4974}" dateTime="2024-04-18T15:52:05" maxSheetId="2" userName="Третьякова Елена Владимировна" r:id="rId86" minRId="3852">
    <sheetIdMap count="1">
      <sheetId val="1"/>
    </sheetIdMap>
  </header>
  <header guid="{E256629B-4EC0-4E7F-B729-5F307850FA17}" dateTime="2024-04-18T16:18:57" maxSheetId="2" userName="Третьякова Елена Владимировна" r:id="rId87" minRId="3856" maxRId="3858">
    <sheetIdMap count="1">
      <sheetId val="1"/>
    </sheetIdMap>
  </header>
  <header guid="{9D9BE75F-04B7-4B61-B8B5-F777E9DB0BA8}" dateTime="2024-04-18T16:23:36" maxSheetId="2" userName="Третьякова Елена Владимировна" r:id="rId88" minRId="3859">
    <sheetIdMap count="1">
      <sheetId val="1"/>
    </sheetIdMap>
  </header>
  <header guid="{8F21EFCB-D766-430B-BF93-686EA25160EC}" dateTime="2024-05-21T09:54:29" maxSheetId="2" userName="Третьякова Елена Владимировна" r:id="rId89" minRId="3860" maxRId="3886">
    <sheetIdMap count="1">
      <sheetId val="1"/>
    </sheetIdMap>
  </header>
  <header guid="{754A36F9-47A4-4A29-B61D-26C67F52E40A}" dateTime="2024-05-21T09:57:33" maxSheetId="2" userName="Третьякова Елена Владимировна" r:id="rId90" minRId="3890" maxRId="3916">
    <sheetIdMap count="1">
      <sheetId val="1"/>
    </sheetIdMap>
  </header>
  <header guid="{8EEE8555-0B44-4662-A223-09841D1144AE}" dateTime="2024-05-21T10:00:31" maxSheetId="2" userName="Третьякова Елена Владимировна" r:id="rId91" minRId="3920" maxRId="3946">
    <sheetIdMap count="1">
      <sheetId val="1"/>
    </sheetIdMap>
  </header>
  <header guid="{D0100334-3347-4F8E-B16A-F2FBC6169957}" dateTime="2024-05-21T10:04:41" maxSheetId="2" userName="Третьякова Елена Владимировна" r:id="rId92" minRId="3950" maxRId="3991">
    <sheetIdMap count="1">
      <sheetId val="1"/>
    </sheetIdMap>
  </header>
  <header guid="{2EE2BD7A-4E68-438E-83EF-907519464C7D}" dateTime="2024-05-21T10:10:13" maxSheetId="2" userName="Третьякова Елена Владимировна" r:id="rId93" minRId="3992" maxRId="4018">
    <sheetIdMap count="1">
      <sheetId val="1"/>
    </sheetIdMap>
  </header>
  <header guid="{A199C995-0693-4F4B-B1AD-6BF2FE17AC78}" dateTime="2024-05-21T10:13:14" maxSheetId="2" userName="Третьякова Елена Владимировна" r:id="rId94" minRId="4022" maxRId="4051">
    <sheetIdMap count="1">
      <sheetId val="1"/>
    </sheetIdMap>
  </header>
  <header guid="{870C84C3-859C-44C7-80EE-D27A877269BD}" dateTime="2024-05-21T10:13:34" maxSheetId="2" userName="Третьякова Елена Владимировна" r:id="rId95">
    <sheetIdMap count="1">
      <sheetId val="1"/>
    </sheetIdMap>
  </header>
  <header guid="{7AB12E61-211A-424E-9F16-B3A9A93D4A28}" dateTime="2024-05-21T10:14:28" maxSheetId="2" userName="Третьякова Елена Владимировна" r:id="rId96" minRId="4055" maxRId="4066">
    <sheetIdMap count="1">
      <sheetId val="1"/>
    </sheetIdMap>
  </header>
  <header guid="{68FCDEE4-E079-4EF8-A4EB-560F9876207F}" dateTime="2024-05-21T10:17:46" maxSheetId="2" userName="Третьякова Елена Владимировна" r:id="rId97" minRId="4067" maxRId="4096">
    <sheetIdMap count="1">
      <sheetId val="1"/>
    </sheetIdMap>
  </header>
  <header guid="{6658611B-EA00-4247-9893-EFE9B5CBA17F}" dateTime="2024-05-21T10:21:16" maxSheetId="2" userName="Третьякова Елена Владимировна" r:id="rId98" minRId="4100" maxRId="4114">
    <sheetIdMap count="1">
      <sheetId val="1"/>
    </sheetIdMap>
  </header>
  <header guid="{86409693-A551-44A3-A3EA-EFFC3580D8D0}" dateTime="2024-05-21T10:27:34" maxSheetId="2" userName="Третьякова Елена Владимировна" r:id="rId99" minRId="4115" maxRId="4141">
    <sheetIdMap count="1">
      <sheetId val="1"/>
    </sheetIdMap>
  </header>
  <header guid="{6E267191-EAB3-4EB2-A47F-CA57641ABF75}" dateTime="2024-05-21T10:45:25" maxSheetId="2" userName="Третьякова Елена Владимировна" r:id="rId100" minRId="4145" maxRId="4190">
    <sheetIdMap count="1">
      <sheetId val="1"/>
    </sheetIdMap>
  </header>
  <header guid="{F9212D6B-902A-4CFA-A877-A84AB25FD6A3}" dateTime="2024-05-21T12:17:03" maxSheetId="2" userName="Третьякова Елена Владимировна" r:id="rId101">
    <sheetIdMap count="1">
      <sheetId val="1"/>
    </sheetIdMap>
  </header>
  <header guid="{3909408C-6023-415B-A484-6EAA0A7D86FA}" dateTime="2024-05-23T09:20:21" maxSheetId="2" userName="Третьякова Елена Владимировна" r:id="rId102" minRId="4197">
    <sheetIdMap count="1">
      <sheetId val="1"/>
    </sheetIdMap>
  </header>
  <header guid="{FF71E19D-BC17-4FC9-854E-87FB78F3DC5A}" dateTime="2024-05-23T09:23:29" maxSheetId="2" userName="Третьякова Елена Владимировна" r:id="rId103" minRId="4200" maxRId="4218">
    <sheetIdMap count="1">
      <sheetId val="1"/>
    </sheetIdMap>
  </header>
  <header guid="{856DC05F-0695-4872-9E11-E70F51F9681E}" dateTime="2024-05-23T09:24:35" maxSheetId="2" userName="Третьякова Елена Владимировна" r:id="rId104" minRId="4221">
    <sheetIdMap count="1">
      <sheetId val="1"/>
    </sheetIdMap>
  </header>
  <header guid="{21BFAFDB-ED92-4F20-B888-CF3D8F908D27}" dateTime="2024-05-23T09:25:16" maxSheetId="2" userName="Третьякова Елена Владимировна" r:id="rId105" minRId="4224">
    <sheetIdMap count="1">
      <sheetId val="1"/>
    </sheetIdMap>
  </header>
  <header guid="{024637F6-B09C-497B-B3B1-704C948D8005}" dateTime="2024-05-23T09:26:34" maxSheetId="2" userName="Третьякова Елена Владимировна" r:id="rId106" minRId="4225">
    <sheetIdMap count="1">
      <sheetId val="1"/>
    </sheetIdMap>
  </header>
  <header guid="{625EB639-B01D-47EB-982C-71FCEFCB7E82}" dateTime="2024-05-23T09:27:13" maxSheetId="2" userName="Третьякова Елена Владимировна" r:id="rId107">
    <sheetIdMap count="1">
      <sheetId val="1"/>
    </sheetIdMap>
  </header>
  <header guid="{65C10AC6-0BB8-4380-85B9-62DE3EA8633A}" dateTime="2024-05-23T09:27:41" maxSheetId="2" userName="Третьякова Елена Владимировна" r:id="rId108" minRId="4230">
    <sheetIdMap count="1">
      <sheetId val="1"/>
    </sheetIdMap>
  </header>
  <header guid="{F3B6CA5A-3D55-4152-AB43-34D8C24BF991}" dateTime="2024-05-29T11:38:05" maxSheetId="2" userName="Третьякова Елена Владимировна" r:id="rId109" minRId="4231" maxRId="4272">
    <sheetIdMap count="1">
      <sheetId val="1"/>
    </sheetIdMap>
  </header>
  <header guid="{4A542AF5-5A2B-414A-B692-B7218567DD3C}" dateTime="2024-05-29T11:39:48" maxSheetId="2" userName="Третьякова Елена Владимировна" r:id="rId110" minRId="4275" maxRId="4289">
    <sheetIdMap count="1">
      <sheetId val="1"/>
    </sheetIdMap>
  </header>
  <header guid="{86106C70-235E-4BDA-841D-2CFA7060B348}" dateTime="2024-05-29T11:41:09" maxSheetId="2" userName="Третьякова Елена Владимировна" r:id="rId111" minRId="4292" maxRId="4309">
    <sheetIdMap count="1">
      <sheetId val="1"/>
    </sheetIdMap>
  </header>
  <header guid="{435EE333-9891-4916-B7CA-2199099BF73B}" dateTime="2024-05-29T11:42:28" maxSheetId="2" userName="Третьякова Елена Владимировна" r:id="rId112">
    <sheetIdMap count="1">
      <sheetId val="1"/>
    </sheetIdMap>
  </header>
  <header guid="{9B2BF1D9-D395-4864-9D86-76A422D35710}" dateTime="2024-05-29T15:46:25" maxSheetId="2" userName="Третьякова Елена Владимировна" r:id="rId113" minRId="4314" maxRId="4334">
    <sheetIdMap count="1">
      <sheetId val="1"/>
    </sheetIdMap>
  </header>
  <header guid="{A89224BF-915D-46A0-BB4B-E59CA8BFD9A1}" dateTime="2024-06-04T08:49:37" maxSheetId="2" userName="Третьякова Елена Владимировна" r:id="rId114" minRId="4337" maxRId="4363">
    <sheetIdMap count="1">
      <sheetId val="1"/>
    </sheetIdMap>
  </header>
  <header guid="{35D5B0C4-6C83-435E-8EDF-25DCE9BA7D3E}" dateTime="2024-06-04T08:57:31" maxSheetId="2" userName="Третьякова Елена Владимировна" r:id="rId115" minRId="4366" maxRId="4390">
    <sheetIdMap count="1">
      <sheetId val="1"/>
    </sheetIdMap>
  </header>
  <header guid="{AEA9E8F9-E92C-4F97-BF97-32EFFBA306F5}" dateTime="2024-06-06T15:35:09" maxSheetId="2" userName="Третьякова Елена Владимировна" r:id="rId116" minRId="4393" maxRId="4419">
    <sheetIdMap count="1">
      <sheetId val="1"/>
    </sheetIdMap>
  </header>
  <header guid="{3D9DF5A9-E671-4BE8-9705-4607A8BCE2BB}" dateTime="2024-06-10T12:14:06" maxSheetId="2" userName="Молчанова Елена Валерьевна" r:id="rId117" minRId="4422" maxRId="4598">
    <sheetIdMap count="1">
      <sheetId val="1"/>
    </sheetIdMap>
  </header>
  <header guid="{8A8609A6-27DA-47DA-A2CA-357F9A78C8CC}" dateTime="2024-06-10T16:33:59" maxSheetId="2" userName="Молчанова Елена Валерьевна" r:id="rId118" minRId="4601" maxRId="4604">
    <sheetIdMap count="1">
      <sheetId val="1"/>
    </sheetIdMap>
  </header>
  <header guid="{B94BF83C-A0B7-4287-A700-16E3F3BA5BBD}" dateTime="2024-06-14T10:49:21" maxSheetId="2" userName="Молчанова Елена Валерьевна" r:id="rId119" minRId="4608" maxRId="4609">
    <sheetIdMap count="1">
      <sheetId val="1"/>
    </sheetIdMap>
  </header>
  <header guid="{236624CF-927E-4CBC-B5AC-52345B0FA9E0}" dateTime="2024-06-19T11:03:20" maxSheetId="2" userName="Молчанова Елена Валерьевна" r:id="rId120" minRId="4613" maxRId="4616">
    <sheetIdMap count="1">
      <sheetId val="1"/>
    </sheetIdMap>
  </header>
  <header guid="{1A7E766A-8D4F-4B49-9849-798E8AE8C8AC}" dateTime="2024-06-19T15:37:35" maxSheetId="2" userName="Молчанова Елена Валерьевна" r:id="rId121" minRId="4620" maxRId="4621">
    <sheetIdMap count="1">
      <sheetId val="1"/>
    </sheetIdMap>
  </header>
  <header guid="{D95D27F6-07DD-4C2B-9816-3F0E440C52FD}" dateTime="2024-09-04T14:24:17" maxSheetId="2" userName="Третьякова Елена Владимировна" r:id="rId122" minRId="4625" maxRId="4637">
    <sheetIdMap count="1">
      <sheetId val="1"/>
    </sheetIdMap>
  </header>
  <header guid="{293A73C8-CCE2-4752-A5A6-44A11CB2E4AE}" dateTime="2024-09-04T14:25:54" maxSheetId="2" userName="Третьякова Елена Владимировна" r:id="rId123" minRId="4640" maxRId="4641">
    <sheetIdMap count="1">
      <sheetId val="1"/>
    </sheetIdMap>
  </header>
  <header guid="{326E237C-3F4D-47A2-9DDB-AE745A136D02}" dateTime="2024-09-04T14:26:37" maxSheetId="2" userName="Третьякова Елена Владимировна" r:id="rId124" minRId="4644">
    <sheetIdMap count="1">
      <sheetId val="1"/>
    </sheetIdMap>
  </header>
  <header guid="{C30819E7-6D4D-491C-BCA5-19E314B3231E}" dateTime="2024-09-04T14:34:53" maxSheetId="2" userName="Третьякова Елена Владимировна" r:id="rId125" minRId="4645" maxRId="4686">
    <sheetIdMap count="1">
      <sheetId val="1"/>
    </sheetIdMap>
  </header>
  <header guid="{AE13311C-F494-4B0C-9FA7-3F7AF419D4DF}" dateTime="2024-09-04T14:35:28" maxSheetId="2" userName="Третьякова Елена Владимировна" r:id="rId126" minRId="4689">
    <sheetIdMap count="1">
      <sheetId val="1"/>
    </sheetIdMap>
  </header>
  <header guid="{58BA1413-AD87-4C6E-852B-DE295A309A0A}" dateTime="2024-09-04T14:36:33" maxSheetId="2" userName="Третьякова Елена Владимировна" r:id="rId127" minRId="4690" maxRId="4691">
    <sheetIdMap count="1">
      <sheetId val="1"/>
    </sheetIdMap>
  </header>
  <header guid="{66C6B12C-AECD-4460-93BB-BCE2211A2992}" dateTime="2024-09-04T14:36:58" maxSheetId="2" userName="Третьякова Елена Владимировна" r:id="rId128" minRId="4692">
    <sheetIdMap count="1">
      <sheetId val="1"/>
    </sheetIdMap>
  </header>
  <header guid="{15ACD8C8-CFA5-42EE-8DE1-8DB1FFC58DE5}" dateTime="2024-09-04T14:37:48" maxSheetId="2" userName="Третьякова Елена Владимировна" r:id="rId129" minRId="4693">
    <sheetIdMap count="1">
      <sheetId val="1"/>
    </sheetIdMap>
  </header>
  <header guid="{12FC40AE-B042-4C92-BAEC-209F067FA1EE}" dateTime="2024-09-04T14:39:56" maxSheetId="2" userName="Третьякова Елена Владимировна" r:id="rId130" minRId="4694" maxRId="4696">
    <sheetIdMap count="1">
      <sheetId val="1"/>
    </sheetIdMap>
  </header>
  <header guid="{85BDFFB3-CB71-490E-ADCC-978AB95C4D33}" dateTime="2024-09-04T14:42:03" maxSheetId="2" userName="Третьякова Елена Владимировна" r:id="rId131" minRId="4697" maxRId="4718">
    <sheetIdMap count="1">
      <sheetId val="1"/>
    </sheetIdMap>
  </header>
  <header guid="{D57A8659-DBB5-4DFB-B715-997177584EDC}" dateTime="2024-09-04T14:47:27" maxSheetId="2" userName="Третьякова Елена Владимировна" r:id="rId132" minRId="4719" maxRId="4749">
    <sheetIdMap count="1">
      <sheetId val="1"/>
    </sheetIdMap>
  </header>
  <header guid="{AA049C6C-B861-48D3-8029-C8C37C8124F4}" dateTime="2024-09-04T14:49:02" maxSheetId="2" userName="Третьякова Елена Владимировна" r:id="rId133" minRId="4752">
    <sheetIdMap count="1">
      <sheetId val="1"/>
    </sheetIdMap>
  </header>
  <header guid="{C2B96ABF-BE04-42CC-83F0-82F63838022F}" dateTime="2024-09-04T14:50:23" maxSheetId="2" userName="Третьякова Елена Владимировна" r:id="rId134" minRId="4753" maxRId="4755">
    <sheetIdMap count="1">
      <sheetId val="1"/>
    </sheetIdMap>
  </header>
  <header guid="{303F65E2-051D-498A-917C-50335DFDA8CC}" dateTime="2024-09-04T14:51:08" maxSheetId="2" userName="Третьякова Елена Владимировна" r:id="rId135" minRId="4756">
    <sheetIdMap count="1">
      <sheetId val="1"/>
    </sheetIdMap>
  </header>
  <header guid="{4ABEBAD1-C557-41E1-8417-95CF4F50798A}" dateTime="2024-09-04T14:52:39" maxSheetId="2" userName="Третьякова Елена Владимировна" r:id="rId136" minRId="4757" maxRId="4758">
    <sheetIdMap count="1">
      <sheetId val="1"/>
    </sheetIdMap>
  </header>
  <header guid="{4A1A3EEA-6A34-4D10-95DA-9A4F676BD7B2}" dateTime="2024-09-04T14:57:28" maxSheetId="2" userName="Третьякова Елена Владимировна" r:id="rId137" minRId="4759" maxRId="4788">
    <sheetIdMap count="1">
      <sheetId val="1"/>
    </sheetIdMap>
  </header>
  <header guid="{660F81BD-ECE2-44CB-BF86-72A8D1D5C0C8}" dateTime="2024-09-04T14:58:00" maxSheetId="2" userName="Третьякова Елена Владимировна" r:id="rId138" minRId="4789">
    <sheetIdMap count="1">
      <sheetId val="1"/>
    </sheetIdMap>
  </header>
  <header guid="{CFD4C9C8-3A6F-411D-8CD7-A60DF5EBBE1E}" dateTime="2024-09-04T14:59:07" maxSheetId="2" userName="Третьякова Елена Владимировна" r:id="rId139" minRId="4790" maxRId="4791">
    <sheetIdMap count="1">
      <sheetId val="1"/>
    </sheetIdMap>
  </header>
  <header guid="{54A54C3B-F4BC-48D7-A25F-C41FCD200C61}" dateTime="2024-09-04T15:00:01" maxSheetId="2" userName="Третьякова Елена Владимировна" r:id="rId140" minRId="4792" maxRId="4799">
    <sheetIdMap count="1">
      <sheetId val="1"/>
    </sheetIdMap>
  </header>
  <header guid="{578CCA35-22A4-45DA-9463-98E2A53A09F2}" dateTime="2024-09-04T15:02:12" maxSheetId="2" userName="Третьякова Елена Владимировна" r:id="rId141" minRId="4800" maxRId="4809">
    <sheetIdMap count="1">
      <sheetId val="1"/>
    </sheetIdMap>
  </header>
  <header guid="{39100F13-6DB4-440B-8770-E256DA73AB61}" dateTime="2024-09-04T15:03:31" maxSheetId="2" userName="Третьякова Елена Владимировна" r:id="rId142" minRId="4810" maxRId="4817">
    <sheetIdMap count="1">
      <sheetId val="1"/>
    </sheetIdMap>
  </header>
  <header guid="{950403FC-1B3E-468F-9D78-1FC9C160E893}" dateTime="2024-09-04T15:04:48" maxSheetId="2" userName="Третьякова Елена Владимировна" r:id="rId143" minRId="4818">
    <sheetIdMap count="1">
      <sheetId val="1"/>
    </sheetIdMap>
  </header>
  <header guid="{9E45AD2F-CA68-4521-B272-23F2083FCFA1}" dateTime="2024-09-04T15:06:07" maxSheetId="2" userName="Третьякова Елена Владимировна" r:id="rId144" minRId="4819" maxRId="4827">
    <sheetIdMap count="1">
      <sheetId val="1"/>
    </sheetIdMap>
  </header>
  <header guid="{66089866-C01E-4389-9A23-02FAC07E2B84}" dateTime="2024-09-04T15:06:51" maxSheetId="2" userName="Третьякова Елена Владимировна" r:id="rId145" minRId="4828">
    <sheetIdMap count="1">
      <sheetId val="1"/>
    </sheetIdMap>
  </header>
  <header guid="{CD8F32C5-21AC-4AA8-974A-2D981313C6FD}" dateTime="2024-09-04T15:07:18" maxSheetId="2" userName="Третьякова Елена Владимировна" r:id="rId146" minRId="4829">
    <sheetIdMap count="1">
      <sheetId val="1"/>
    </sheetIdMap>
  </header>
  <header guid="{F60EF207-B7D6-4623-9394-2ADF2FEBA521}" dateTime="2024-09-04T15:10:07" maxSheetId="2" userName="Третьякова Елена Владимировна" r:id="rId147" minRId="4830" maxRId="4857">
    <sheetIdMap count="1">
      <sheetId val="1"/>
    </sheetIdMap>
  </header>
  <header guid="{815F8B1E-0531-4E55-A45F-1883E0E752A3}" dateTime="2024-09-04T15:10:34" maxSheetId="2" userName="Третьякова Елена Владимировна" r:id="rId148" minRId="4860">
    <sheetIdMap count="1">
      <sheetId val="1"/>
    </sheetIdMap>
  </header>
  <header guid="{C15B66C4-F5BB-437A-B123-8EBB82926A82}" dateTime="2024-09-04T15:11:02" maxSheetId="2" userName="Третьякова Елена Владимировна" r:id="rId149" minRId="4861">
    <sheetIdMap count="1">
      <sheetId val="1"/>
    </sheetIdMap>
  </header>
  <header guid="{15C15F2E-009F-4F23-A302-EEF7964DE132}" dateTime="2024-09-04T15:14:56" maxSheetId="2" userName="Третьякова Елена Владимировна" r:id="rId150" minRId="4864" maxRId="4891">
    <sheetIdMap count="1">
      <sheetId val="1"/>
    </sheetIdMap>
  </header>
  <header guid="{1A2EFA75-1860-4929-9FA9-2CF7037C9BD5}" dateTime="2024-09-04T15:15:37" maxSheetId="2" userName="Третьякова Елена Владимировна" r:id="rId151" minRId="4894" maxRId="4896">
    <sheetIdMap count="1">
      <sheetId val="1"/>
    </sheetIdMap>
  </header>
  <header guid="{F78F4C86-C551-4FFB-82CB-446F49A22EBB}" dateTime="2024-09-04T15:16:22" maxSheetId="2" userName="Третьякова Елена Владимировна" r:id="rId152" minRId="4897">
    <sheetIdMap count="1">
      <sheetId val="1"/>
    </sheetIdMap>
  </header>
  <header guid="{9BFA8E76-D352-4EDE-B669-B48CB687BC16}" dateTime="2024-09-04T15:16:48" maxSheetId="2" userName="Третьякова Елена Владимировна" r:id="rId153" minRId="4898">
    <sheetIdMap count="1">
      <sheetId val="1"/>
    </sheetIdMap>
  </header>
  <header guid="{BBC4E167-C7B0-48B8-BF90-E77E0755D6C2}" dateTime="2024-09-04T15:18:04" maxSheetId="2" userName="Третьякова Елена Владимировна" r:id="rId154" minRId="4899" maxRId="4900">
    <sheetIdMap count="1">
      <sheetId val="1"/>
    </sheetIdMap>
  </header>
  <header guid="{E05C76AE-1489-4B40-B81B-8C561F259675}" dateTime="2024-09-04T15:39:52" maxSheetId="2" userName="Третьякова Елена Владимировна" r:id="rId155" minRId="4901" maxRId="4921">
    <sheetIdMap count="1">
      <sheetId val="1"/>
    </sheetIdMap>
  </header>
  <header guid="{929F4C84-E7F6-417F-9D39-74114AE2E151}" dateTime="2024-09-04T15:41:19" maxSheetId="2" userName="Третьякова Елена Владимировна" r:id="rId156" minRId="4924">
    <sheetIdMap count="1">
      <sheetId val="1"/>
    </sheetIdMap>
  </header>
  <header guid="{E466D76F-F76F-4BBC-BD0F-CCB6A4E03985}" dateTime="2024-09-04T15:42:18" maxSheetId="2" userName="Третьякова Елена Владимировна" r:id="rId157" minRId="4925">
    <sheetIdMap count="1">
      <sheetId val="1"/>
    </sheetIdMap>
  </header>
  <header guid="{A0B44C6B-C720-43E7-A18A-FD56CC8AD6E7}" dateTime="2024-09-04T15:43:58" maxSheetId="2" userName="Третьякова Елена Владимировна" r:id="rId158" minRId="4926">
    <sheetIdMap count="1">
      <sheetId val="1"/>
    </sheetIdMap>
  </header>
  <header guid="{902C7D5B-8BE4-470C-AFDD-19646D425210}" dateTime="2024-09-04T16:01:27" maxSheetId="2" userName="Третьякова Елена Владимировна" r:id="rId159" minRId="4927">
    <sheetIdMap count="1">
      <sheetId val="1"/>
    </sheetIdMap>
  </header>
  <header guid="{6034FA96-350C-41B9-91AE-566A2218A0B2}" dateTime="2024-09-04T16:06:07" maxSheetId="2" userName="Третьякова Елена Владимировна" r:id="rId160" minRId="4930">
    <sheetIdMap count="1">
      <sheetId val="1"/>
    </sheetIdMap>
  </header>
  <header guid="{DA8F266C-1DB9-4BDF-B8DE-B367A1A405F5}" dateTime="2024-09-04T16:16:55" maxSheetId="2" userName="Третьякова Елена Владимировна" r:id="rId161" minRId="4933" maxRId="4955">
    <sheetIdMap count="1">
      <sheetId val="1"/>
    </sheetIdMap>
  </header>
  <header guid="{0BC37161-EF21-4A87-B856-37F36EE6BC2C}" dateTime="2024-09-04T16:18:14" maxSheetId="2" userName="Третьякова Елена Владимировна" r:id="rId162" minRId="4958">
    <sheetIdMap count="1">
      <sheetId val="1"/>
    </sheetIdMap>
  </header>
  <header guid="{9FEF90CF-FA4C-4F9D-A1B6-A3643CCA3A1E}" dateTime="2024-09-04T16:23:31" maxSheetId="2" userName="Третьякова Елена Владимировна" r:id="rId163" minRId="4959">
    <sheetIdMap count="1">
      <sheetId val="1"/>
    </sheetIdMap>
  </header>
  <header guid="{643948B0-48FF-42E8-A59C-C08DFEFB8587}" dateTime="2024-09-04T16:27:56" maxSheetId="2" userName="Третьякова Елена Владимировна" r:id="rId164" minRId="4962">
    <sheetIdMap count="1">
      <sheetId val="1"/>
    </sheetIdMap>
  </header>
  <header guid="{17DFD4D2-B4FE-49E3-817B-FDF80302F028}" dateTime="2024-09-06T08:38:12" maxSheetId="2" userName="Третьякова Елена Владимировна" r:id="rId165" minRId="4965" maxRId="4969">
    <sheetIdMap count="1">
      <sheetId val="1"/>
    </sheetIdMap>
  </header>
  <header guid="{A232228E-C00A-470E-882B-992DAF2AC637}" dateTime="2024-09-06T08:41:20" maxSheetId="2" userName="Третьякова Елена Владимировна" r:id="rId166" minRId="4972" maxRId="4998">
    <sheetIdMap count="1">
      <sheetId val="1"/>
    </sheetIdMap>
  </header>
  <header guid="{38396F4A-6CEE-4538-8B9F-714FD08A91EF}" dateTime="2024-09-06T08:41:25" maxSheetId="2" userName="Третьякова Елена Владимировна" r:id="rId167">
    <sheetIdMap count="1">
      <sheetId val="1"/>
    </sheetIdMap>
  </header>
  <header guid="{09695FAC-02D3-4C57-8997-6177D3794748}" dateTime="2024-09-06T08:42:33" maxSheetId="2" userName="Третьякова Елена Владимировна" r:id="rId168" minRId="5001" maxRId="5002">
    <sheetIdMap count="1">
      <sheetId val="1"/>
    </sheetIdMap>
  </header>
  <header guid="{A87228BE-C609-4744-BC88-880640BB478E}" dateTime="2024-09-06T08:43:15" maxSheetId="2" userName="Третьякова Елена Владимировна" r:id="rId169" minRId="5003">
    <sheetIdMap count="1">
      <sheetId val="1"/>
    </sheetIdMap>
  </header>
  <header guid="{9190B782-320D-43A8-8A25-79C1F22451C4}" dateTime="2024-09-06T08:43:39" maxSheetId="2" userName="Третьякова Елена Владимировна" r:id="rId170" minRId="5004">
    <sheetIdMap count="1">
      <sheetId val="1"/>
    </sheetIdMap>
  </header>
  <header guid="{DF169F73-0B40-4E33-8F3E-01591CE33AC2}" dateTime="2024-09-06T08:44:32" maxSheetId="2" userName="Третьякова Елена Владимировна" r:id="rId171" minRId="5005" maxRId="5006">
    <sheetIdMap count="1">
      <sheetId val="1"/>
    </sheetIdMap>
  </header>
  <header guid="{6309BC1F-B289-4386-86F9-485BF925DAC3}" dateTime="2024-09-06T08:45:32" maxSheetId="2" userName="Третьякова Елена Владимировна" r:id="rId172" minRId="5007">
    <sheetIdMap count="1">
      <sheetId val="1"/>
    </sheetIdMap>
  </header>
  <header guid="{15391CD0-9AEA-4636-8266-B047AFB70579}" dateTime="2024-09-06T08:46:22" maxSheetId="2" userName="Третьякова Елена Владимировна" r:id="rId173" minRId="5008" maxRId="5009">
    <sheetIdMap count="1">
      <sheetId val="1"/>
    </sheetIdMap>
  </header>
  <header guid="{11C953CA-3B12-4688-9DEF-6431A67167DA}" dateTime="2024-09-06T08:49:51" maxSheetId="2" userName="Третьякова Елена Владимировна" r:id="rId174" minRId="5010" maxRId="5012">
    <sheetIdMap count="1">
      <sheetId val="1"/>
    </sheetIdMap>
  </header>
  <header guid="{4D2DC5E2-FA36-4C36-B43C-AD1B845B90CD}" dateTime="2024-09-06T08:52:32" maxSheetId="2" userName="Третьякова Елена Владимировна" r:id="rId175" minRId="5013" maxRId="5034">
    <sheetIdMap count="1">
      <sheetId val="1"/>
    </sheetIdMap>
  </header>
  <header guid="{B12B3C4F-1531-47EA-9CAD-7C0D7085C566}" dateTime="2024-09-06T08:57:00" maxSheetId="2" userName="Третьякова Елена Владимировна" r:id="rId176" minRId="5035" maxRId="5056">
    <sheetIdMap count="1">
      <sheetId val="1"/>
    </sheetIdMap>
  </header>
  <header guid="{EC3EAC3E-6272-4B03-BC34-B645C6DB4A26}" dateTime="2024-09-06T08:57:20" maxSheetId="2" userName="Третьякова Елена Владимировна" r:id="rId177" minRId="5057">
    <sheetIdMap count="1">
      <sheetId val="1"/>
    </sheetIdMap>
  </header>
  <header guid="{EA5F3812-1AA8-4A18-9024-1344ABB260FD}" dateTime="2024-09-06T08:57:58" maxSheetId="2" userName="Третьякова Елена Владимировна" r:id="rId178" minRId="5058">
    <sheetIdMap count="1">
      <sheetId val="1"/>
    </sheetIdMap>
  </header>
  <header guid="{EC89E813-F643-466D-B833-C9BBF6BDF36D}" dateTime="2024-09-06T08:58:27" maxSheetId="2" userName="Третьякова Елена Владимировна" r:id="rId179" minRId="5059">
    <sheetIdMap count="1">
      <sheetId val="1"/>
    </sheetIdMap>
  </header>
  <header guid="{E8A5DDC9-DC01-48C4-AA97-0A9FD12FE6ED}" dateTime="2024-09-06T08:59:06" maxSheetId="2" userName="Третьякова Елена Владимировна" r:id="rId180" minRId="5060" maxRId="5061">
    <sheetIdMap count="1">
      <sheetId val="1"/>
    </sheetIdMap>
  </header>
  <header guid="{06D28157-7ABB-42C5-BA87-C32A76BAFFCC}" dateTime="2024-09-06T09:00:04" maxSheetId="2" userName="Третьякова Елена Владимировна" r:id="rId181" minRId="5062">
    <sheetIdMap count="1">
      <sheetId val="1"/>
    </sheetIdMap>
  </header>
  <header guid="{A4197D61-2FB0-4AA9-B883-F482C2D673A0}" dateTime="2024-09-06T09:00:27" maxSheetId="2" userName="Третьякова Елена Владимировна" r:id="rId182" minRId="5063">
    <sheetIdMap count="1">
      <sheetId val="1"/>
    </sheetIdMap>
  </header>
  <header guid="{0D113B37-8F12-4FA7-BE4F-F2E214A89A1C}" dateTime="2024-09-06T09:04:09" maxSheetId="2" userName="Третьякова Елена Владимировна" r:id="rId183" minRId="5064" maxRId="5084">
    <sheetIdMap count="1">
      <sheetId val="1"/>
    </sheetIdMap>
  </header>
  <header guid="{CAA250BB-06A4-498D-BEC7-97E9A3496CD8}" dateTime="2024-09-06T09:06:06" maxSheetId="2" userName="Третьякова Елена Владимировна" r:id="rId184" minRId="5087" maxRId="5097">
    <sheetIdMap count="1">
      <sheetId val="1"/>
    </sheetIdMap>
  </header>
  <header guid="{BA7AAF3A-93BB-4A66-8C12-9C01CB26E69E}" dateTime="2024-09-06T09:06:37" maxSheetId="2" userName="Третьякова Елена Владимировна" r:id="rId185" minRId="5098">
    <sheetIdMap count="1">
      <sheetId val="1"/>
    </sheetIdMap>
  </header>
  <header guid="{95DB1A09-0EDF-48DB-81EB-255D357C80FE}" dateTime="2024-09-06T09:07:14" maxSheetId="2" userName="Третьякова Елена Владимировна" r:id="rId186" minRId="5099">
    <sheetIdMap count="1">
      <sheetId val="1"/>
    </sheetIdMap>
  </header>
  <header guid="{3BB53506-606B-43FC-A06F-6CBED86BC271}" dateTime="2024-09-06T09:10:21" maxSheetId="2" userName="Третьякова Елена Владимировна" r:id="rId187" minRId="5102" maxRId="5130">
    <sheetIdMap count="1">
      <sheetId val="1"/>
    </sheetIdMap>
  </header>
  <header guid="{B0498F32-5F4D-4463-AEA2-3C870C75A446}" dateTime="2024-09-06T09:10:56" maxSheetId="2" userName="Третьякова Елена Владимировна" r:id="rId188" minRId="5131">
    <sheetIdMap count="1">
      <sheetId val="1"/>
    </sheetIdMap>
  </header>
  <header guid="{C13BE588-1902-44BC-AF49-61D44B697EDD}" dateTime="2024-09-06T09:14:00" maxSheetId="2" userName="Третьякова Елена Владимировна" r:id="rId189" minRId="5132" maxRId="5134">
    <sheetIdMap count="1">
      <sheetId val="1"/>
    </sheetIdMap>
  </header>
  <header guid="{C5B01085-8C32-4663-A3AB-E324B00D5D2F}" dateTime="2024-09-06T09:15:21" maxSheetId="2" userName="Третьякова Елена Владимировна" r:id="rId190" minRId="5135" maxRId="5138">
    <sheetIdMap count="1">
      <sheetId val="1"/>
    </sheetIdMap>
  </header>
  <header guid="{BBE0CBD7-DEA7-41F9-8D1D-E7D067BF1C6D}" dateTime="2024-09-06T09:17:49" maxSheetId="2" userName="Третьякова Елена Владимировна" r:id="rId191" minRId="5139">
    <sheetIdMap count="1">
      <sheetId val="1"/>
    </sheetIdMap>
  </header>
  <header guid="{A4C94D0A-B2BA-43DA-AE19-DFA4BF1ADB80}" dateTime="2024-09-06T09:32:10" maxSheetId="2" userName="Третьякова Елена Владимировна" r:id="rId192" minRId="5140" maxRId="5141">
    <sheetIdMap count="1">
      <sheetId val="1"/>
    </sheetIdMap>
  </header>
  <header guid="{D7FCF7A0-9EA8-48DA-A876-6C09FF4AB31B}" dateTime="2024-09-06T09:34:05" maxSheetId="2" userName="Третьякова Елена Владимировна" r:id="rId193" minRId="5142">
    <sheetIdMap count="1">
      <sheetId val="1"/>
    </sheetIdMap>
  </header>
  <header guid="{522EF73F-96F8-48C9-9D53-4B55439A39DB}" dateTime="2024-09-06T09:45:53" maxSheetId="2" userName="Третьякова Елена Владимировна" r:id="rId194">
    <sheetIdMap count="1">
      <sheetId val="1"/>
    </sheetIdMap>
  </header>
  <header guid="{C045B01C-32E1-4B67-A436-CE713A0EEA22}" dateTime="2024-09-06T09:52:27" maxSheetId="2" userName="Третьякова Елена Владимировна" r:id="rId195" minRId="5145">
    <sheetIdMap count="1">
      <sheetId val="1"/>
    </sheetIdMap>
  </header>
  <header guid="{E3F58949-2A83-4E11-8BCD-0A688AC9847F}" dateTime="2024-09-06T10:16:36" maxSheetId="2" userName="Третьякова Елена Владимировна" r:id="rId196" minRId="5146">
    <sheetIdMap count="1">
      <sheetId val="1"/>
    </sheetIdMap>
  </header>
  <header guid="{22D9AF09-E9E1-406F-81A4-E48E890A92E8}" dateTime="2024-09-06T10:19:05" maxSheetId="2" userName="Третьякова Елена Владимировна" r:id="rId197" minRId="5147">
    <sheetIdMap count="1">
      <sheetId val="1"/>
    </sheetIdMap>
  </header>
  <header guid="{C1CCB26D-422B-460F-9B2F-129CB6B1DEB6}" dateTime="2024-09-06T15:22:05" maxSheetId="2" userName="Третьякова Елена Владимировна" r:id="rId198" minRId="5148">
    <sheetIdMap count="1">
      <sheetId val="1"/>
    </sheetIdMap>
  </header>
  <header guid="{CE87D9D1-85BA-46B7-A732-2DE89357209D}" dateTime="2024-09-09T12:44:09" maxSheetId="2" userName="Третьякова Елена Владимировна" r:id="rId199" minRId="5149">
    <sheetIdMap count="1">
      <sheetId val="1"/>
    </sheetIdMap>
  </header>
  <header guid="{39EF1815-6823-46C5-B37F-007BF5A2F7A1}" dateTime="2024-09-09T14:04:02" maxSheetId="2" userName="Третьякова Елена Владимировна" r:id="rId200">
    <sheetIdMap count="1">
      <sheetId val="1"/>
    </sheetIdMap>
  </header>
  <header guid="{C3BDC011-C628-4F6A-8038-541710AE3814}" dateTime="2024-09-11T12:40:42" maxSheetId="2" userName="Молчанова Елена Валерьевна" r:id="rId201" minRId="5155">
    <sheetIdMap count="1">
      <sheetId val="1"/>
    </sheetIdMap>
  </header>
  <header guid="{4F0F82CA-4A20-4530-97D6-4272C46C4DFF}" dateTime="2024-09-26T10:21:03" maxSheetId="2" userName="Третьякова Елена Владимировна" r:id="rId202" minRId="5159" maxRId="5277">
    <sheetIdMap count="1">
      <sheetId val="1"/>
    </sheetIdMap>
  </header>
  <header guid="{BE12E5BC-AE0E-467C-BABC-2FE572C591B2}" dateTime="2024-09-26T10:21:30" maxSheetId="2" userName="Третьякова Елена Владимировна" r:id="rId203" minRId="5281" maxRId="5286">
    <sheetIdMap count="1">
      <sheetId val="1"/>
    </sheetIdMap>
  </header>
  <header guid="{42DC5B7F-1464-4F47-90BF-7FE322A447B7}" dateTime="2024-09-26T10:22:14" maxSheetId="2" userName="Третьякова Елена Владимировна" r:id="rId204" minRId="5287">
    <sheetIdMap count="1">
      <sheetId val="1"/>
    </sheetIdMap>
  </header>
  <header guid="{3BA8F49F-2BDA-48BD-B5E6-FD39DBC188BA}" dateTime="2024-09-26T10:22:24" maxSheetId="2" userName="Третьякова Елена Владимировна" r:id="rId205" minRId="5288">
    <sheetIdMap count="1">
      <sheetId val="1"/>
    </sheetIdMap>
  </header>
  <header guid="{CB39F902-C078-43F5-B8EC-E50785827588}" dateTime="2024-09-26T10:23:34" maxSheetId="2" userName="Третьякова Елена Владимировна" r:id="rId206">
    <sheetIdMap count="1">
      <sheetId val="1"/>
    </sheetIdMap>
  </header>
  <header guid="{EFE26765-3D50-4AAF-BB75-E12475DB5826}" dateTime="2024-09-27T11:45:53" maxSheetId="2" userName="Третьякова Елена Владимировна" r:id="rId207" minRId="5291" maxRId="5297">
    <sheetIdMap count="1">
      <sheetId val="1"/>
    </sheetIdMap>
  </header>
  <header guid="{F805E963-67FC-437B-8E5F-5F135B57D167}" dateTime="2024-09-30T15:42:54" maxSheetId="2" userName="Третьякова Елена Владимировна" r:id="rId208" minRId="5298">
    <sheetIdMap count="1">
      <sheetId val="1"/>
    </sheetIdMap>
  </header>
  <header guid="{ECA23D47-54FA-4BE8-BCAA-1E8BAC712736}" dateTime="2024-09-30T15:43:32" maxSheetId="2" userName="Третьякова Елена Владимировна" r:id="rId209" minRId="5299">
    <sheetIdMap count="1">
      <sheetId val="1"/>
    </sheetIdMap>
  </header>
  <header guid="{1A855CA0-1375-46AA-A939-01E26FBECE26}" dateTime="2024-09-30T15:44:59" maxSheetId="2" userName="Третьякова Елена Владимировна" r:id="rId210" minRId="5300">
    <sheetIdMap count="1">
      <sheetId val="1"/>
    </sheetIdMap>
  </header>
  <header guid="{F81665E2-F414-45C6-A033-C30CD15EF3A4}" dateTime="2024-10-17T12:52:42" maxSheetId="2" userName="Третьякова Елена Владимировна" r:id="rId211" minRId="5301" maxRId="5329">
    <sheetIdMap count="1">
      <sheetId val="1"/>
    </sheetIdMap>
  </header>
  <header guid="{0A1CA5F8-5AA6-489F-AFD5-8B7525ED155E}" dateTime="2024-10-23T15:59:19" maxSheetId="2" userName="Третьякова Елена Владимировна" r:id="rId212" minRId="5332" maxRId="5334">
    <sheetIdMap count="1">
      <sheetId val="1"/>
    </sheetIdMap>
  </header>
  <header guid="{458B74E3-924F-43B7-9896-D525EBCD9564}" dateTime="2024-10-23T15:59:47" maxSheetId="2" userName="Третьякова Елена Владимировна" r:id="rId213" minRId="5337">
    <sheetIdMap count="1">
      <sheetId val="1"/>
    </sheetIdMap>
  </header>
  <header guid="{23F4905E-AD46-4927-AB00-31DF37A75A14}" dateTime="2024-10-23T16:01:47" maxSheetId="2" userName="Третьякова Елена Владимировна" r:id="rId214" minRId="5340" maxRId="5367">
    <sheetIdMap count="1">
      <sheetId val="1"/>
    </sheetIdMap>
  </header>
  <header guid="{0102020D-C40E-4935-97DD-C4C7E6746E73}" dateTime="2024-10-23T16:03:13" maxSheetId="2" userName="Третьякова Елена Владимировна" r:id="rId215" minRId="5370" maxRId="5372">
    <sheetIdMap count="1">
      <sheetId val="1"/>
    </sheetIdMap>
  </header>
  <header guid="{3DCB23FD-2731-49ED-ADD0-758B53070D74}" dateTime="2024-10-23T16:04:29" maxSheetId="2" userName="Третьякова Елена Владимировна" r:id="rId216" minRId="5375" maxRId="5376">
    <sheetIdMap count="1">
      <sheetId val="1"/>
    </sheetIdMap>
  </header>
  <header guid="{DA578A23-B1DD-4D28-9BBC-EA5BB43403C5}" dateTime="2024-10-23T16:07:03" maxSheetId="2" userName="Третьякова Елена Владимировна" r:id="rId217" minRId="5377" maxRId="5404">
    <sheetIdMap count="1">
      <sheetId val="1"/>
    </sheetIdMap>
  </header>
  <header guid="{C27AAA0E-D7F0-4676-A6B6-BB5291EAABE2}" dateTime="2024-10-23T16:08:30" maxSheetId="2" userName="Третьякова Елена Владимировна" r:id="rId218" minRId="5407" maxRId="5408">
    <sheetIdMap count="1">
      <sheetId val="1"/>
    </sheetIdMap>
  </header>
  <header guid="{7A659C1A-C39A-49B3-A591-72E65CE4F617}" dateTime="2024-10-23T16:09:20" maxSheetId="2" userName="Третьякова Елена Владимировна" r:id="rId219" minRId="5409">
    <sheetIdMap count="1">
      <sheetId val="1"/>
    </sheetIdMap>
  </header>
  <header guid="{B2175F9B-37FC-4F92-B932-8CF7B034B166}" dateTime="2024-10-23T16:16:05" maxSheetId="2" userName="Третьякова Елена Владимировна" r:id="rId220" minRId="5410" maxRId="5412">
    <sheetIdMap count="1">
      <sheetId val="1"/>
    </sheetIdMap>
  </header>
  <header guid="{5E37462B-2348-45AB-8CFF-6D29F3918E6A}" dateTime="2024-10-23T16:17:35" maxSheetId="2" userName="Третьякова Елена Владимировна" r:id="rId221" minRId="5413" maxRId="5414">
    <sheetIdMap count="1">
      <sheetId val="1"/>
    </sheetIdMap>
  </header>
  <header guid="{8280516D-CEFD-4D62-9021-6ABAC675BC82}" dateTime="2024-10-23T16:19:40" maxSheetId="2" userName="Третьякова Елена Владимировна" r:id="rId222" minRId="5415" maxRId="5428">
    <sheetIdMap count="1">
      <sheetId val="1"/>
    </sheetIdMap>
  </header>
  <header guid="{D183546B-0427-41E7-B787-E783B7CF874C}" dateTime="2024-10-23T16:19:52" maxSheetId="2" userName="Третьякова Елена Владимировна" r:id="rId223" minRId="5429" maxRId="5430">
    <sheetIdMap count="1">
      <sheetId val="1"/>
    </sheetIdMap>
  </header>
  <header guid="{69B9E89B-4878-4E7C-8694-872C24935239}" dateTime="2024-10-23T16:20:22" maxSheetId="2" userName="Третьякова Елена Владимировна" r:id="rId224" minRId="5431">
    <sheetIdMap count="1">
      <sheetId val="1"/>
    </sheetIdMap>
  </header>
  <header guid="{11DA4D3D-8960-4986-AFC5-3991D3E8E075}" dateTime="2024-10-23T16:21:30" maxSheetId="2" userName="Третьякова Елена Владимировна" r:id="rId225" minRId="5432" maxRId="5433">
    <sheetIdMap count="1">
      <sheetId val="1"/>
    </sheetIdMap>
  </header>
  <header guid="{D36E0BA6-75C4-42FB-94D4-42E7AB33DD4E}" dateTime="2024-10-23T16:22:09" maxSheetId="2" userName="Третьякова Елена Владимировна" r:id="rId226" minRId="5434" maxRId="5437">
    <sheetIdMap count="1">
      <sheetId val="1"/>
    </sheetIdMap>
  </header>
  <header guid="{56512AE0-26CF-4478-A756-90B5796D346C}" dateTime="2024-10-23T16:23:29" maxSheetId="2" userName="Третьякова Елена Владимировна" r:id="rId227" minRId="5438" maxRId="5440">
    <sheetIdMap count="1">
      <sheetId val="1"/>
    </sheetIdMap>
  </header>
  <header guid="{49F45B66-694D-4185-9D40-EC336EDD599E}" dateTime="2024-10-23T16:24:20" maxSheetId="2" userName="Третьякова Елена Владимировна" r:id="rId228" minRId="5441" maxRId="5442">
    <sheetIdMap count="1">
      <sheetId val="1"/>
    </sheetIdMap>
  </header>
  <header guid="{285B5C21-F9E6-4B8A-B790-D5DE0D575E1E}" dateTime="2024-10-23T16:24:47" maxSheetId="2" userName="Третьякова Елена Владимировна" r:id="rId229" minRId="5443">
    <sheetIdMap count="1">
      <sheetId val="1"/>
    </sheetIdMap>
  </header>
  <header guid="{81FA44E8-6963-4CDE-B602-5A2E562198C2}" dateTime="2024-10-23T16:26:06" maxSheetId="2" userName="Третьякова Елена Владимировна" r:id="rId230" minRId="5444" maxRId="5445">
    <sheetIdMap count="1">
      <sheetId val="1"/>
    </sheetIdMap>
  </header>
  <header guid="{0776C545-954E-4DEA-96B2-2013C52494CF}" dateTime="2024-10-23T16:26:51" maxSheetId="2" userName="Третьякова Елена Владимировна" r:id="rId231" minRId="5446">
    <sheetIdMap count="1">
      <sheetId val="1"/>
    </sheetIdMap>
  </header>
  <header guid="{3BE7143D-358E-4AAD-8244-8AB555C94134}" dateTime="2024-10-23T16:27:08" maxSheetId="2" userName="Третьякова Елена Владимировна" r:id="rId232" minRId="5447">
    <sheetIdMap count="1">
      <sheetId val="1"/>
    </sheetIdMap>
  </header>
  <header guid="{A8CFD692-B308-4B5F-8A1B-57DD82CEFAAA}" dateTime="2024-10-23T16:27:44" maxSheetId="2" userName="Третьякова Елена Владимировна" r:id="rId233" minRId="5448">
    <sheetIdMap count="1">
      <sheetId val="1"/>
    </sheetIdMap>
  </header>
  <header guid="{4C8B2E1D-4501-4586-9CF2-740A3A3C553D}" dateTime="2024-10-23T16:27:58" maxSheetId="2" userName="Третьякова Елена Владимировна" r:id="rId234" minRId="5449">
    <sheetIdMap count="1">
      <sheetId val="1"/>
    </sheetIdMap>
  </header>
  <header guid="{DACF794F-A14D-495A-A018-3692D4F8746F}" dateTime="2024-10-23T16:28:24" maxSheetId="2" userName="Третьякова Елена Владимировна" r:id="rId235" minRId="5450">
    <sheetIdMap count="1">
      <sheetId val="1"/>
    </sheetIdMap>
  </header>
  <header guid="{2EA52749-512F-430A-B067-774E9883D3EE}" dateTime="2024-10-23T16:28:59" maxSheetId="2" userName="Третьякова Елена Владимировна" r:id="rId236" minRId="5451">
    <sheetIdMap count="1">
      <sheetId val="1"/>
    </sheetIdMap>
  </header>
  <header guid="{D0FC039D-0063-40EB-B1F9-E83D325FDBF8}" dateTime="2024-10-23T16:29:26" maxSheetId="2" userName="Третьякова Елена Владимировна" r:id="rId237" minRId="5452">
    <sheetIdMap count="1">
      <sheetId val="1"/>
    </sheetIdMap>
  </header>
  <header guid="{1517D597-4E5E-4316-A171-01DCA0906736}" dateTime="2024-10-23T16:29:52" maxSheetId="2" userName="Третьякова Елена Владимировна" r:id="rId238" minRId="5453">
    <sheetIdMap count="1">
      <sheetId val="1"/>
    </sheetIdMap>
  </header>
  <header guid="{D226F89F-903D-4E7C-A211-7457CEAE0810}" dateTime="2024-10-23T16:30:30" maxSheetId="2" userName="Третьякова Елена Владимировна" r:id="rId239" minRId="5454" maxRId="5455">
    <sheetIdMap count="1">
      <sheetId val="1"/>
    </sheetIdMap>
  </header>
  <header guid="{D4D55BBF-3047-4AA0-B553-8F65003DAB12}" dateTime="2024-10-23T16:30:59" maxSheetId="2" userName="Третьякова Елена Владимировна" r:id="rId240" minRId="5456">
    <sheetIdMap count="1">
      <sheetId val="1"/>
    </sheetIdMap>
  </header>
  <header guid="{1E08B0ED-E830-4A97-8C59-CE7973EFC79F}" dateTime="2024-10-23T16:32:14" maxSheetId="2" userName="Третьякова Елена Владимировна" r:id="rId241" minRId="5457">
    <sheetIdMap count="1">
      <sheetId val="1"/>
    </sheetIdMap>
  </header>
  <header guid="{F7DC8721-E9A6-497A-9D80-BB3B59109F66}" dateTime="2024-10-24T08:44:53" maxSheetId="2" userName="Третьякова Елена Владимировна" r:id="rId242" minRId="5458" maxRId="5460">
    <sheetIdMap count="1">
      <sheetId val="1"/>
    </sheetIdMap>
  </header>
  <header guid="{36B5101C-7A90-4C56-A2B5-20AD093A6CCE}" dateTime="2024-10-24T08:45:34" maxSheetId="2" userName="Третьякова Елена Владимировна" r:id="rId243" minRId="5463">
    <sheetIdMap count="1">
      <sheetId val="1"/>
    </sheetIdMap>
  </header>
  <header guid="{BE6BB6B0-BC85-4886-85A8-79990314AB1F}" dateTime="2024-10-24T08:46:20" maxSheetId="2" userName="Третьякова Елена Владимировна" r:id="rId244" minRId="5464">
    <sheetIdMap count="1">
      <sheetId val="1"/>
    </sheetIdMap>
  </header>
  <header guid="{6604841A-ECC2-41FA-972B-AFA43E987857}" dateTime="2024-10-24T08:46:46" maxSheetId="2" userName="Третьякова Елена Владимировна" r:id="rId245" minRId="5465">
    <sheetIdMap count="1">
      <sheetId val="1"/>
    </sheetIdMap>
  </header>
  <header guid="{9FC3764F-8863-48EA-938F-5233712CE0E6}" dateTime="2024-10-24T08:47:11" maxSheetId="2" userName="Третьякова Елена Владимировна" r:id="rId246" minRId="5466">
    <sheetIdMap count="1">
      <sheetId val="1"/>
    </sheetIdMap>
  </header>
  <header guid="{D10E6783-BD34-4E8C-A6CD-43147A9E4D91}" dateTime="2024-10-24T08:47:44" maxSheetId="2" userName="Третьякова Елена Владимировна" r:id="rId247" minRId="5467">
    <sheetIdMap count="1">
      <sheetId val="1"/>
    </sheetIdMap>
  </header>
  <header guid="{8971488A-98AE-4E2F-A80C-F276173B2EAE}" dateTime="2024-10-24T08:48:02" maxSheetId="2" userName="Третьякова Елена Владимировна" r:id="rId248" minRId="5468">
    <sheetIdMap count="1">
      <sheetId val="1"/>
    </sheetIdMap>
  </header>
  <header guid="{05BF83EC-3B85-4BA8-8431-A11DA1EC3CFB}" dateTime="2024-10-24T08:48:31" maxSheetId="2" userName="Третьякова Елена Владимировна" r:id="rId249" minRId="5469">
    <sheetIdMap count="1">
      <sheetId val="1"/>
    </sheetIdMap>
  </header>
  <header guid="{5E670000-BADB-42AB-9FAA-8B4C2F1B9F57}" dateTime="2024-10-24T08:48:46" maxSheetId="2" userName="Третьякова Елена Владимировна" r:id="rId250" minRId="5470">
    <sheetIdMap count="1">
      <sheetId val="1"/>
    </sheetIdMap>
  </header>
  <header guid="{2C679FE9-9874-4D45-947E-8306B8FF6292}" dateTime="2024-10-24T08:49:22" maxSheetId="2" userName="Третьякова Елена Владимировна" r:id="rId251" minRId="5471">
    <sheetIdMap count="1">
      <sheetId val="1"/>
    </sheetIdMap>
  </header>
  <header guid="{C051A922-C80B-4498-9770-3AE7580FB962}" dateTime="2024-10-24T08:50:05" maxSheetId="2" userName="Третьякова Елена Владимировна" r:id="rId252" minRId="5472" maxRId="5473">
    <sheetIdMap count="1">
      <sheetId val="1"/>
    </sheetIdMap>
  </header>
  <header guid="{41A2670E-6A33-4C05-A2E3-135BE625AFCC}" dateTime="2024-10-24T08:50:45" maxSheetId="2" userName="Третьякова Елена Владимировна" r:id="rId253" minRId="5474">
    <sheetIdMap count="1">
      <sheetId val="1"/>
    </sheetIdMap>
  </header>
  <header guid="{4E398372-8E97-4C2E-B545-2EEEF4DCB173}" dateTime="2024-10-24T08:51:39" maxSheetId="2" userName="Третьякова Елена Владимировна" r:id="rId254" minRId="5475" maxRId="5483">
    <sheetIdMap count="1">
      <sheetId val="1"/>
    </sheetIdMap>
  </header>
  <header guid="{21FDD9A4-7F2D-4EEF-B0B8-D21385E77E87}" dateTime="2024-10-24T08:52:17" maxSheetId="2" userName="Третьякова Елена Владимировна" r:id="rId255" minRId="5484">
    <sheetIdMap count="1">
      <sheetId val="1"/>
    </sheetIdMap>
  </header>
  <header guid="{E3041DEC-CDA6-48F3-9A8E-AE468E68A06F}" dateTime="2024-10-25T14:10:07" maxSheetId="2" userName="Третьякова Елена Владимировна" r:id="rId256" minRId="5485">
    <sheetIdMap count="1">
      <sheetId val="1"/>
    </sheetIdMap>
  </header>
  <header guid="{2CACEACE-EFE9-43E3-92EA-90AFE2229CAB}" dateTime="2024-10-25T14:10:40" maxSheetId="2" userName="Третьякова Елена Владимировна" r:id="rId257" minRId="5486">
    <sheetIdMap count="1">
      <sheetId val="1"/>
    </sheetIdMap>
  </header>
  <header guid="{EAE14FEA-C88A-4F9E-974B-5A5A3ECDF668}" dateTime="2024-10-25T14:10:56" maxSheetId="2" userName="Третьякова Елена Владимировна" r:id="rId258" minRId="5487">
    <sheetIdMap count="1">
      <sheetId val="1"/>
    </sheetIdMap>
  </header>
  <header guid="{A54DD789-D1DD-4932-8AB6-2B5EC11321C4}" dateTime="2024-10-25T14:11:38" maxSheetId="2" userName="Третьякова Елена Владимировна" r:id="rId259" minRId="5488">
    <sheetIdMap count="1">
      <sheetId val="1"/>
    </sheetIdMap>
  </header>
  <header guid="{D92EB038-DD7B-4C0D-A329-0A2E9B3B108C}" dateTime="2024-10-25T14:12:24" maxSheetId="2" userName="Третьякова Елена Владимировна" r:id="rId260" minRId="5489" maxRId="5490">
    <sheetIdMap count="1">
      <sheetId val="1"/>
    </sheetIdMap>
  </header>
  <header guid="{2DEECE89-1F23-430E-A8C5-B71DD8940E17}" dateTime="2024-10-25T14:12:46" maxSheetId="2" userName="Третьякова Елена Владимировна" r:id="rId261" minRId="5491">
    <sheetIdMap count="1">
      <sheetId val="1"/>
    </sheetIdMap>
  </header>
  <header guid="{D53A47CB-E333-4F6D-97ED-0744AB1929CE}" dateTime="2024-10-25T14:13:18" maxSheetId="2" userName="Третьякова Елена Владимировна" r:id="rId262" minRId="5492">
    <sheetIdMap count="1">
      <sheetId val="1"/>
    </sheetIdMap>
  </header>
  <header guid="{563474B0-888C-4E92-8C7B-9650DA91F086}" dateTime="2024-10-25T14:15:51" maxSheetId="2" userName="Третьякова Елена Владимировна" r:id="rId263" minRId="5493" maxRId="5494">
    <sheetIdMap count="1">
      <sheetId val="1"/>
    </sheetIdMap>
  </header>
  <header guid="{E66C270F-4C61-48CF-A091-08AEBB07FD62}" dateTime="2024-10-25T14:16:14" maxSheetId="2" userName="Третьякова Елена Владимировна" r:id="rId264" minRId="5495">
    <sheetIdMap count="1">
      <sheetId val="1"/>
    </sheetIdMap>
  </header>
  <header guid="{DBACD729-87A2-46FA-BC6E-45046FA3998F}" dateTime="2024-10-25T14:16:39" maxSheetId="2" userName="Третьякова Елена Владимировна" r:id="rId265" minRId="5496">
    <sheetIdMap count="1">
      <sheetId val="1"/>
    </sheetIdMap>
  </header>
  <header guid="{CBE296F1-0FB1-44E6-BAFC-04C684FC3EB4}" dateTime="2024-10-25T14:17:23" maxSheetId="2" userName="Третьякова Елена Владимировна" r:id="rId266" minRId="5497">
    <sheetIdMap count="1">
      <sheetId val="1"/>
    </sheetIdMap>
  </header>
  <header guid="{051FC0ED-A3B8-46AB-AFDB-B09A78650D3D}" dateTime="2024-10-25T14:17:57" maxSheetId="2" userName="Третьякова Елена Владимировна" r:id="rId267" minRId="5498">
    <sheetIdMap count="1">
      <sheetId val="1"/>
    </sheetIdMap>
  </header>
  <header guid="{BA58D0F3-1BEE-4A95-8217-6C0F5861B3BF}" dateTime="2024-10-25T14:18:47" maxSheetId="2" userName="Третьякова Елена Владимировна" r:id="rId268" minRId="5499">
    <sheetIdMap count="1">
      <sheetId val="1"/>
    </sheetIdMap>
  </header>
  <header guid="{CF1B5919-C91B-482D-A823-AB356A3A4783}" dateTime="2024-10-25T14:24:09" maxSheetId="2" userName="Третьякова Елена Владимировна" r:id="rId269" minRId="5500" maxRId="5522">
    <sheetIdMap count="1">
      <sheetId val="1"/>
    </sheetIdMap>
  </header>
  <header guid="{19C2A6B7-073C-4B11-A348-CFC70906C62D}" dateTime="2024-10-25T14:25:14" maxSheetId="2" userName="Третьякова Елена Владимировна" r:id="rId270" minRId="5523" maxRId="5524">
    <sheetIdMap count="1">
      <sheetId val="1"/>
    </sheetIdMap>
  </header>
  <header guid="{02C3CAFA-B1E0-4C6A-9691-60AAF0B13922}" dateTime="2024-10-25T14:27:58" maxSheetId="2" userName="Третьякова Елена Владимировна" r:id="rId271" minRId="5525" maxRId="5526">
    <sheetIdMap count="1">
      <sheetId val="1"/>
    </sheetIdMap>
  </header>
  <header guid="{CFEF0A74-2D4C-47BE-895B-5DC745EC58A4}" dateTime="2024-10-25T14:29:25" maxSheetId="2" userName="Третьякова Елена Владимировна" r:id="rId272" minRId="5527" maxRId="5528">
    <sheetIdMap count="1">
      <sheetId val="1"/>
    </sheetIdMap>
  </header>
  <header guid="{595D1870-9B4E-44FD-B172-63AD8A9C5399}" dateTime="2024-10-28T12:00:59" maxSheetId="2" userName="Третьякова Елена Владимировна" r:id="rId273" minRId="5529">
    <sheetIdMap count="1">
      <sheetId val="1"/>
    </sheetIdMap>
  </header>
  <header guid="{8BF40D47-7939-4D49-AA3B-D81555D2DDC9}" dateTime="2024-10-28T12:01:50" maxSheetId="2" userName="Третьякова Елена Владимировна" r:id="rId274" minRId="5532">
    <sheetIdMap count="1">
      <sheetId val="1"/>
    </sheetIdMap>
  </header>
  <header guid="{85ACD8D4-D963-4C8B-A341-7A6051A2283E}" dateTime="2024-10-28T12:03:01" maxSheetId="2" userName="Третьякова Елена Владимировна" r:id="rId275" minRId="5533" maxRId="5534">
    <sheetIdMap count="1">
      <sheetId val="1"/>
    </sheetIdMap>
  </header>
  <header guid="{134B2193-7883-4BA2-A210-4EBC36BC9B1E}" dateTime="2024-10-28T12:03:19" maxSheetId="2" userName="Третьякова Елена Владимировна" r:id="rId276" minRId="5535">
    <sheetIdMap count="1">
      <sheetId val="1"/>
    </sheetIdMap>
  </header>
  <header guid="{8538132C-F6DB-402E-919D-51DF75EB33E4}" dateTime="2024-10-28T12:04:01" maxSheetId="2" userName="Третьякова Елена Владимировна" r:id="rId277" minRId="5536">
    <sheetIdMap count="1">
      <sheetId val="1"/>
    </sheetIdMap>
  </header>
  <header guid="{1577753C-FDDD-4D4C-8367-FC892C4F48BA}" dateTime="2024-10-28T12:04:39" maxSheetId="2" userName="Третьякова Елена Владимировна" r:id="rId278" minRId="5537" maxRId="5538">
    <sheetIdMap count="1">
      <sheetId val="1"/>
    </sheetIdMap>
  </header>
  <header guid="{61BD85CD-504F-40D9-A5C3-2C66815DA614}" dateTime="2024-10-28T12:05:50" maxSheetId="2" userName="Третьякова Елена Владимировна" r:id="rId279" minRId="5539" maxRId="5540">
    <sheetIdMap count="1">
      <sheetId val="1"/>
    </sheetIdMap>
  </header>
  <header guid="{FFEFB391-70CC-4FC9-9686-ADD63DB58647}" dateTime="2024-10-28T12:06:38" maxSheetId="2" userName="Третьякова Елена Владимировна" r:id="rId280" minRId="5541">
    <sheetIdMap count="1">
      <sheetId val="1"/>
    </sheetIdMap>
  </header>
  <header guid="{0D50FE74-0BA9-4D16-BE3C-F3ADB16ABCDA}" dateTime="2024-10-28T12:07:02" maxSheetId="2" userName="Третьякова Елена Владимировна" r:id="rId281" minRId="5542">
    <sheetIdMap count="1">
      <sheetId val="1"/>
    </sheetIdMap>
  </header>
  <header guid="{5D0388A3-2EDF-4F9A-94E2-3D5EB5BD81E1}" dateTime="2024-10-28T12:07:38" maxSheetId="2" userName="Третьякова Елена Владимировна" r:id="rId282" minRId="5543">
    <sheetIdMap count="1">
      <sheetId val="1"/>
    </sheetIdMap>
  </header>
  <header guid="{EAFD3613-E00C-42A4-BFA1-2C3D1059182B}" dateTime="2024-10-28T12:08:20" maxSheetId="2" userName="Третьякова Елена Владимировна" r:id="rId283" minRId="5544">
    <sheetIdMap count="1">
      <sheetId val="1"/>
    </sheetIdMap>
  </header>
  <header guid="{A71212D5-9E72-4A37-A7E2-2F7153B0A63F}" dateTime="2024-10-28T12:09:07" maxSheetId="2" userName="Третьякова Елена Владимировна" r:id="rId284" minRId="5545">
    <sheetIdMap count="1">
      <sheetId val="1"/>
    </sheetIdMap>
  </header>
  <header guid="{56A56EED-3765-4705-A744-2546C4CE937D}" dateTime="2024-10-28T12:11:02" maxSheetId="2" userName="Третьякова Елена Владимировна" r:id="rId285" minRId="5546">
    <sheetIdMap count="1">
      <sheetId val="1"/>
    </sheetIdMap>
  </header>
  <header guid="{741570FA-00B6-44BB-BAAB-3159543DB72B}" dateTime="2024-10-28T12:11:48" maxSheetId="2" userName="Третьякова Елена Владимировна" r:id="rId286" minRId="5547">
    <sheetIdMap count="1">
      <sheetId val="1"/>
    </sheetIdMap>
  </header>
  <header guid="{5813EF55-EDBD-4894-923D-AB16756F67E2}" dateTime="2024-10-28T12:12:27" maxSheetId="2" userName="Третьякова Елена Владимировна" r:id="rId287" minRId="5548">
    <sheetIdMap count="1">
      <sheetId val="1"/>
    </sheetIdMap>
  </header>
  <header guid="{014CB8C6-B2F9-46AB-AF1B-E8B9B77D99C3}" dateTime="2024-10-28T12:12:52" maxSheetId="2" userName="Третьякова Елена Владимировна" r:id="rId288" minRId="5549">
    <sheetIdMap count="1">
      <sheetId val="1"/>
    </sheetIdMap>
  </header>
  <header guid="{1E5866B4-DD7B-4459-96B5-C5A5561246F7}" dateTime="2024-10-28T12:13:15" maxSheetId="2" userName="Третьякова Елена Владимировна" r:id="rId289" minRId="5550">
    <sheetIdMap count="1">
      <sheetId val="1"/>
    </sheetIdMap>
  </header>
  <header guid="{14E2FEDD-592E-4D73-BCBA-947A9D91DA50}" dateTime="2024-10-28T12:14:42" maxSheetId="2" userName="Третьякова Елена Владимировна" r:id="rId290" minRId="5551" maxRId="5553">
    <sheetIdMap count="1">
      <sheetId val="1"/>
    </sheetIdMap>
  </header>
  <header guid="{EF2CABC5-C36B-48F1-8F91-05FE09643723}" dateTime="2024-10-28T12:18:08" maxSheetId="2" userName="Третьякова Елена Владимировна" r:id="rId291" minRId="5554" maxRId="5557">
    <sheetIdMap count="1">
      <sheetId val="1"/>
    </sheetIdMap>
  </header>
  <header guid="{BDF01E8E-3BD1-4397-860E-45A7004EA3E3}" dateTime="2024-10-28T12:25:14" maxSheetId="2" userName="Третьякова Елена Владимировна" r:id="rId292" minRId="5560">
    <sheetIdMap count="1">
      <sheetId val="1"/>
    </sheetIdMap>
  </header>
  <header guid="{CCD5CEFD-FC42-44FB-ABE6-3E744FD32B21}" dateTime="2024-10-28T12:39:27" maxSheetId="2" userName="Третьякова Елена Владимировна" r:id="rId293" minRId="5561">
    <sheetIdMap count="1">
      <sheetId val="1"/>
    </sheetIdMap>
  </header>
  <header guid="{EA02C18A-3155-4579-AA5D-ADEDC922E968}" dateTime="2024-10-28T13:27:58" maxSheetId="2" userName="Третьякова Елена Владимировна" r:id="rId294">
    <sheetIdMap count="1">
      <sheetId val="1"/>
    </sheetIdMap>
  </header>
  <header guid="{D708978D-9A02-4132-9F67-0CEB9E09DD16}" dateTime="2024-10-28T14:24:58" maxSheetId="2" userName="Третьякова Елена Владимировна" r:id="rId295">
    <sheetIdMap count="1">
      <sheetId val="1"/>
    </sheetIdMap>
  </header>
  <header guid="{5127AFF3-115F-4AAE-84AB-B3236B5D4952}" dateTime="2024-10-28T15:03:12" maxSheetId="2" userName="Третьякова Елена Владимировна" r:id="rId296" minRId="5564" maxRId="5565">
    <sheetIdMap count="1">
      <sheetId val="1"/>
    </sheetIdMap>
  </header>
  <header guid="{937A6299-33EF-4206-A2CE-3946870D8B99}" dateTime="2024-11-29T11:51:36" maxSheetId="2" userName="Третьякова Елена Владимировна" r:id="rId297" minRId="5566" maxRId="5567">
    <sheetIdMap count="1">
      <sheetId val="1"/>
    </sheetIdMap>
  </header>
  <header guid="{31450887-2E99-4771-BF87-0256F63DF7F0}" dateTime="2024-11-29T11:53:30" maxSheetId="2" userName="Третьякова Елена Владимировна" r:id="rId298" minRId="5570" maxRId="5572">
    <sheetIdMap count="1">
      <sheetId val="1"/>
    </sheetIdMap>
  </header>
  <header guid="{CE2EDA91-C1A4-4F4F-B4B7-17B66595A703}" dateTime="2024-11-29T11:55:01" maxSheetId="2" userName="Третьякова Елена Владимировна" r:id="rId299" minRId="5573" maxRId="5574">
    <sheetIdMap count="1">
      <sheetId val="1"/>
    </sheetIdMap>
  </header>
  <header guid="{DC36C704-793D-4D7B-B21E-19CD65C0E756}" dateTime="2024-11-29T11:55:26" maxSheetId="2" userName="Третьякова Елена Владимировна" r:id="rId300" minRId="5575">
    <sheetIdMap count="1">
      <sheetId val="1"/>
    </sheetIdMap>
  </header>
  <header guid="{3A643ECD-2BFF-45F2-BE37-C9D9FA32EEE1}" dateTime="2024-11-29T11:55:47" maxSheetId="2" userName="Третьякова Елена Владимировна" r:id="rId301" minRId="5576">
    <sheetIdMap count="1">
      <sheetId val="1"/>
    </sheetIdMap>
  </header>
  <header guid="{14C7ED64-8CA1-4CBE-9342-FAF6F9FB2AF9}" dateTime="2024-11-29T11:56:27" maxSheetId="2" userName="Третьякова Елена Владимировна" r:id="rId302" minRId="5577" maxRId="5578">
    <sheetIdMap count="1">
      <sheetId val="1"/>
    </sheetIdMap>
  </header>
  <header guid="{489922B8-FCD0-4347-AD37-B770E46EBE64}" dateTime="2024-11-29T11:56:56" maxSheetId="2" userName="Третьякова Елена Владимировна" r:id="rId303" minRId="5579">
    <sheetIdMap count="1">
      <sheetId val="1"/>
    </sheetIdMap>
  </header>
  <header guid="{5664C703-E7E0-4FA8-87B6-85A93BAE6062}" dateTime="2024-11-29T11:57:33" maxSheetId="2" userName="Третьякова Елена Владимировна" r:id="rId304" minRId="5580">
    <sheetIdMap count="1">
      <sheetId val="1"/>
    </sheetIdMap>
  </header>
  <header guid="{D5386A18-2D2C-44FB-B7C6-576D893B6FC4}" dateTime="2024-11-29T11:59:47" maxSheetId="2" userName="Третьякова Елена Владимировна" r:id="rId305" minRId="5581" maxRId="5607">
    <sheetIdMap count="1">
      <sheetId val="1"/>
    </sheetIdMap>
  </header>
  <header guid="{ED9B4C21-30CD-46EE-A931-D5787962D3B2}" dateTime="2024-11-29T12:00:05" maxSheetId="2" userName="Третьякова Елена Владимировна" r:id="rId306" minRId="5610">
    <sheetIdMap count="1">
      <sheetId val="1"/>
    </sheetIdMap>
  </header>
  <header guid="{72805163-D6CE-454D-8323-0EB23996F7A3}" dateTime="2024-11-29T12:01:03" maxSheetId="2" userName="Третьякова Елена Владимировна" r:id="rId307" minRId="5611" maxRId="5612">
    <sheetIdMap count="1">
      <sheetId val="1"/>
    </sheetIdMap>
  </header>
  <header guid="{DCB83E78-32C6-45B3-A836-AE30D652C45A}" dateTime="2024-11-29T12:02:46" maxSheetId="2" userName="Третьякова Елена Владимировна" r:id="rId308" minRId="5613">
    <sheetIdMap count="1">
      <sheetId val="1"/>
    </sheetIdMap>
  </header>
  <header guid="{17836101-A48C-4C4E-89D0-C9D5EFC29D4F}" dateTime="2024-11-29T12:03:43" maxSheetId="2" userName="Третьякова Елена Владимировна" r:id="rId309" minRId="5614" maxRId="5616">
    <sheetIdMap count="1">
      <sheetId val="1"/>
    </sheetIdMap>
  </header>
  <header guid="{19F896AA-1A62-4B1A-AAD4-5156B5DFC73E}" dateTime="2024-11-29T12:04:39" maxSheetId="2" userName="Третьякова Елена Владимировна" r:id="rId310" minRId="5617" maxRId="5618">
    <sheetIdMap count="1">
      <sheetId val="1"/>
    </sheetIdMap>
  </header>
  <header guid="{E9AAE9C1-61D8-45C6-91C7-D66EBB21EDF8}" dateTime="2024-11-29T12:06:31" maxSheetId="2" userName="Третьякова Елена Владимировна" r:id="rId311" minRId="5619" maxRId="5627">
    <sheetIdMap count="1">
      <sheetId val="1"/>
    </sheetIdMap>
  </header>
  <header guid="{62569243-E84F-4637-971F-3BBC84646575}" dateTime="2024-11-29T12:06:55" maxSheetId="2" userName="Третьякова Елена Владимировна" r:id="rId312" minRId="5628">
    <sheetIdMap count="1">
      <sheetId val="1"/>
    </sheetIdMap>
  </header>
  <header guid="{71FA6B4D-553D-40C6-BCBE-5E5F512D6183}" dateTime="2024-11-29T12:08:21" maxSheetId="2" userName="Третьякова Елена Владимировна" r:id="rId313" minRId="5629" maxRId="5632">
    <sheetIdMap count="1">
      <sheetId val="1"/>
    </sheetIdMap>
  </header>
  <header guid="{2D6DDC20-F557-4757-8A21-B269AC26D0A7}" dateTime="2024-11-29T12:08:47" maxSheetId="2" userName="Третьякова Елена Владимировна" r:id="rId314" minRId="5633">
    <sheetIdMap count="1">
      <sheetId val="1"/>
    </sheetIdMap>
  </header>
  <header guid="{DA285F65-6C90-4857-8D66-2E1738CA6472}" dateTime="2024-11-29T12:09:49" maxSheetId="2" userName="Третьякова Елена Владимировна" r:id="rId315" minRId="5634" maxRId="5635">
    <sheetIdMap count="1">
      <sheetId val="1"/>
    </sheetIdMap>
  </header>
  <header guid="{E9B6E005-8005-4AB2-A399-DEEA00AEA60F}" dateTime="2024-11-29T12:10:21" maxSheetId="2" userName="Третьякова Елена Владимировна" r:id="rId316" minRId="5636">
    <sheetIdMap count="1">
      <sheetId val="1"/>
    </sheetIdMap>
  </header>
  <header guid="{D336D0CF-0510-4F5E-A770-FA0D59E507C1}" dateTime="2024-11-29T12:10:42" maxSheetId="2" userName="Третьякова Елена Владимировна" r:id="rId317" minRId="5637">
    <sheetIdMap count="1">
      <sheetId val="1"/>
    </sheetIdMap>
  </header>
  <header guid="{758E6DAA-1D44-4226-B7A4-5046EE3E232F}" dateTime="2024-11-29T12:11:17" maxSheetId="2" userName="Третьякова Елена Владимировна" r:id="rId318" minRId="5638" maxRId="5639">
    <sheetIdMap count="1">
      <sheetId val="1"/>
    </sheetIdMap>
  </header>
  <header guid="{F9D2EC6F-55E2-47E9-90A6-5895D9D7CB71}" dateTime="2024-11-29T12:12:06" maxSheetId="2" userName="Третьякова Елена Владимировна" r:id="rId319" minRId="5640">
    <sheetIdMap count="1">
      <sheetId val="1"/>
    </sheetIdMap>
  </header>
  <header guid="{C199FAB1-DCFF-47F7-9273-A771D8E8F6EC}" dateTime="2024-11-29T12:12:45" maxSheetId="2" userName="Третьякова Елена Владимировна" r:id="rId320" minRId="5641">
    <sheetIdMap count="1">
      <sheetId val="1"/>
    </sheetIdMap>
  </header>
  <header guid="{61284592-4A14-4D84-8B8E-EDB786D46A5C}" dateTime="2024-11-29T12:14:13" maxSheetId="2" userName="Третьякова Елена Владимировна" r:id="rId321" minRId="5642">
    <sheetIdMap count="1">
      <sheetId val="1"/>
    </sheetIdMap>
  </header>
  <header guid="{2C53D2C3-EF34-4C68-A785-E724EE11DF53}" dateTime="2024-11-29T12:15:08" maxSheetId="2" userName="Третьякова Елена Владимировна" r:id="rId322" minRId="5643" maxRId="5645">
    <sheetIdMap count="1">
      <sheetId val="1"/>
    </sheetIdMap>
  </header>
  <header guid="{824365BD-6309-40BD-BB7F-A3A6E686ACAD}" dateTime="2024-11-29T12:15:57" maxSheetId="2" userName="Третьякова Елена Владимировна" r:id="rId323" minRId="5646" maxRId="5649">
    <sheetIdMap count="1">
      <sheetId val="1"/>
    </sheetIdMap>
  </header>
  <header guid="{24A05193-9D71-4351-A114-CD06934E5007}" dateTime="2024-11-29T12:16:39" maxSheetId="2" userName="Третьякова Елена Владимировна" r:id="rId324" minRId="5650" maxRId="5651">
    <sheetIdMap count="1">
      <sheetId val="1"/>
    </sheetIdMap>
  </header>
  <header guid="{417A8060-0766-49DF-A0BD-62E27DBFAB4C}" dateTime="2024-11-29T12:18:39" maxSheetId="2" userName="Третьякова Елена Владимировна" r:id="rId325" minRId="5652" maxRId="5654">
    <sheetIdMap count="1">
      <sheetId val="1"/>
    </sheetIdMap>
  </header>
  <header guid="{8F3913BF-097A-48D5-A75D-F6E932DE826B}" dateTime="2024-11-29T12:19:15" maxSheetId="2" userName="Третьякова Елена Владимировна" r:id="rId326" minRId="5655">
    <sheetIdMap count="1">
      <sheetId val="1"/>
    </sheetIdMap>
  </header>
  <header guid="{7B4696BC-61F2-4575-B630-90604A5E687E}" dateTime="2024-11-29T12:20:04" maxSheetId="2" userName="Третьякова Елена Владимировна" r:id="rId327" minRId="5656" maxRId="5657">
    <sheetIdMap count="1">
      <sheetId val="1"/>
    </sheetIdMap>
  </header>
  <header guid="{B88D24DB-15C9-45DC-A0E5-5F9401636252}" dateTime="2024-11-29T12:21:05" maxSheetId="2" userName="Третьякова Елена Владимировна" r:id="rId328" minRId="5658" maxRId="5660">
    <sheetIdMap count="1">
      <sheetId val="1"/>
    </sheetIdMap>
  </header>
  <header guid="{5FB54089-41A5-44D1-82D8-8CC902AA2BC9}" dateTime="2024-11-29T12:25:36" maxSheetId="2" userName="Третьякова Елена Владимировна" r:id="rId329" minRId="5661" maxRId="5669">
    <sheetIdMap count="1">
      <sheetId val="1"/>
    </sheetIdMap>
  </header>
  <header guid="{1A0916A0-9BA1-4E48-A628-EF729DCD48C7}" dateTime="2024-11-29T12:30:10" maxSheetId="2" userName="Третьякова Елена Владимировна" r:id="rId330" minRId="5670">
    <sheetIdMap count="1">
      <sheetId val="1"/>
    </sheetIdMap>
  </header>
  <header guid="{69C0076B-E384-42A3-9D5F-681E9A5824AC}" dateTime="2024-11-29T12:32:56" maxSheetId="2" userName="Третьякова Елена Владимировна" r:id="rId331" minRId="5671">
    <sheetIdMap count="1">
      <sheetId val="1"/>
    </sheetIdMap>
  </header>
  <header guid="{93D36B3D-B903-473C-B906-E3277614D568}" dateTime="2024-11-29T14:14:56" maxSheetId="2" userName="Третьякова Елена Владимировна" r:id="rId332" minRId="5672" maxRId="5673">
    <sheetIdMap count="1">
      <sheetId val="1"/>
    </sheetIdMap>
  </header>
  <header guid="{25FA5EDB-328E-4A3C-95E4-CDE3A04629E8}" dateTime="2024-11-29T14:48:40" maxSheetId="2" userName="Третьякова Елена Владимировна" r:id="rId333" minRId="5674" maxRId="5675">
    <sheetIdMap count="1">
      <sheetId val="1"/>
    </sheetIdMap>
  </header>
  <header guid="{67F6898E-6F68-4EF2-B20E-DF3968896F14}" dateTime="2024-11-29T14:50:17" maxSheetId="2" userName="Третьякова Елена Владимировна" r:id="rId334" minRId="5678" maxRId="5682">
    <sheetIdMap count="1">
      <sheetId val="1"/>
    </sheetIdMap>
  </header>
  <header guid="{918DAA91-C10C-46C3-A8F2-E2CD2E07FCCC}" dateTime="2024-11-29T14:50:53" maxSheetId="2" userName="Третьякова Елена Владимировна" r:id="rId335" minRId="5683" maxRId="5684">
    <sheetIdMap count="1">
      <sheetId val="1"/>
    </sheetIdMap>
  </header>
  <header guid="{C47662B1-E509-4F0A-A80D-A09E7B5DB094}" dateTime="2024-11-29T14:51:26" maxSheetId="2" userName="Третьякова Елена Владимировна" r:id="rId336" minRId="5685" maxRId="5686">
    <sheetIdMap count="1">
      <sheetId val="1"/>
    </sheetIdMap>
  </header>
  <header guid="{41B4E4DB-9DD0-41B9-A645-8382B2B64B03}" dateTime="2024-11-29T14:51:53" maxSheetId="2" userName="Третьякова Елена Владимировна" r:id="rId337" minRId="5687">
    <sheetIdMap count="1">
      <sheetId val="1"/>
    </sheetIdMap>
  </header>
  <header guid="{C62A9297-2F18-4600-B126-20EE8A74350A}" dateTime="2024-11-29T14:53:02" maxSheetId="2" userName="Третьякова Елена Владимировна" r:id="rId338" minRId="5688" maxRId="5706">
    <sheetIdMap count="1">
      <sheetId val="1"/>
    </sheetIdMap>
  </header>
  <header guid="{F6D14953-A2D3-4E6D-8069-B4BFD518F064}" dateTime="2024-11-29T14:53:42" maxSheetId="2" userName="Третьякова Елена Владимировна" r:id="rId339" minRId="5707" maxRId="5709">
    <sheetIdMap count="1">
      <sheetId val="1"/>
    </sheetIdMap>
  </header>
  <header guid="{74C25698-93DE-46E6-9010-94473BB73F6E}" dateTime="2024-11-29T14:54:13" maxSheetId="2" userName="Третьякова Елена Владимировна" r:id="rId340">
    <sheetIdMap count="1">
      <sheetId val="1"/>
    </sheetIdMap>
  </header>
  <header guid="{7A8A595C-3EB4-4883-AAE8-32B9334FF7DA}" dateTime="2024-11-29T14:55:38" maxSheetId="2" userName="Третьякова Елена Владимировна" r:id="rId341" minRId="5712">
    <sheetIdMap count="1">
      <sheetId val="1"/>
    </sheetIdMap>
  </header>
  <header guid="{A1319371-0B6C-4A25-91C2-70EEA346187F}" dateTime="2024-12-02T10:01:05" maxSheetId="2" userName="Третьякова Елена Владимировна" r:id="rId342" minRId="5713" maxRId="5742">
    <sheetIdMap count="1">
      <sheetId val="1"/>
    </sheetIdMap>
  </header>
  <header guid="{C88052E9-7264-441D-8239-898ED54A4163}" dateTime="2024-12-02T12:10:08" maxSheetId="2" userName="Третьякова Елена Владимировна" r:id="rId343" minRId="5743" maxRId="5744">
    <sheetIdMap count="1">
      <sheetId val="1"/>
    </sheetIdMap>
  </header>
  <header guid="{1BCC40C7-C265-4965-88FA-7DC15552D6B9}" dateTime="2024-12-06T12:21:13" maxSheetId="2" userName="Третьякова Елена Владимировна" r:id="rId344" minRId="5745" maxRId="5759">
    <sheetIdMap count="1">
      <sheetId val="1"/>
    </sheetIdMap>
  </header>
  <header guid="{7BD7F3C8-247B-4DBD-B737-B9C3D3E43A76}" dateTime="2024-12-06T13:34:12" maxSheetId="2" userName="Молчанова Елена Валерьевна" r:id="rId345" minRId="5762" maxRId="5826">
    <sheetIdMap count="1">
      <sheetId val="1"/>
    </sheetIdMap>
  </header>
  <header guid="{79ED0D68-BE0B-4CA5-ABAB-5ABD5BA05D1D}" dateTime="2024-12-13T14:39:33" maxSheetId="2" userName="Третьякова Елена Владимировна" r:id="rId346" minRId="5829" maxRId="5832">
    <sheetIdMap count="1">
      <sheetId val="1"/>
    </sheetIdMap>
  </header>
  <header guid="{0CC8B829-F996-4883-A240-AE480AD0A19D}" dateTime="2024-12-17T11:33:11" maxSheetId="2" userName="Третьякова Елена Владимировна" r:id="rId347">
    <sheetIdMap count="1">
      <sheetId val="1"/>
    </sheetIdMap>
  </header>
  <header guid="{A185E1AF-09FD-4985-96C0-DD978B244DA0}" dateTime="2024-12-17T16:22:17" maxSheetId="2" userName="feu09" r:id="rId348" minRId="5835">
    <sheetIdMap count="1">
      <sheetId val="1"/>
    </sheetIdMap>
  </header>
  <header guid="{8CA5E875-5EAE-436E-BF84-1FE6AA563C36}" dateTime="2024-12-17T16:27:26" maxSheetId="2" userName="feu09" r:id="rId349" minRId="5838" maxRId="5840">
    <sheetIdMap count="1">
      <sheetId val="1"/>
    </sheetIdMap>
  </header>
  <header guid="{50643A5F-EF58-409D-A24B-927D5F18E7AD}" dateTime="2025-02-03T14:35:01" maxSheetId="2" userName="Третьякова Елена Владимировна" r:id="rId350" minRId="5843" maxRId="5855">
    <sheetIdMap count="1">
      <sheetId val="1"/>
    </sheetIdMap>
  </header>
  <header guid="{F266CE2D-E460-4DE0-A2C4-A28D2E2560B7}" dateTime="2025-02-05T10:11:30" maxSheetId="2" userName="Третьякова Елена Владимировна" r:id="rId351">
    <sheetIdMap count="1">
      <sheetId val="1"/>
    </sheetIdMap>
  </header>
  <header guid="{17D25145-47CA-4BBA-B603-88D7EA86D773}" dateTime="2025-02-05T10:14:43" maxSheetId="2" userName="Третьякова Елена Владимировна" r:id="rId352" minRId="5860" maxRId="5861">
    <sheetIdMap count="1">
      <sheetId val="1"/>
    </sheetIdMap>
  </header>
  <header guid="{546E6F0C-0F53-4A7E-8923-F8D5DEE92481}" dateTime="2025-02-05T10:16:47" maxSheetId="2" userName="Третьякова Елена Владимировна" r:id="rId353" minRId="5862" maxRId="5867">
    <sheetIdMap count="1">
      <sheetId val="1"/>
    </sheetIdMap>
  </header>
  <header guid="{E78DAB56-356B-4921-806F-9284EC8D7546}" dateTime="2025-02-05T10:30:13" maxSheetId="2" userName="Третьякова Елена Владимировна" r:id="rId354" minRId="5868" maxRId="5897">
    <sheetIdMap count="1">
      <sheetId val="1"/>
    </sheetIdMap>
  </header>
  <header guid="{AD18482D-A4F9-4C30-AD6E-DC7A172562E9}" dateTime="2025-02-05T10:36:41" maxSheetId="2" userName="Третьякова Елена Владимировна" r:id="rId355" minRId="5898" maxRId="5917">
    <sheetIdMap count="1">
      <sheetId val="1"/>
    </sheetIdMap>
  </header>
  <header guid="{2951E18A-49D6-453E-9BEA-659DCB034C44}" dateTime="2025-02-05T10:42:19" maxSheetId="2" userName="Третьякова Елена Владимировна" r:id="rId356" minRId="5920" maxRId="5928">
    <sheetIdMap count="1">
      <sheetId val="1"/>
    </sheetIdMap>
  </header>
  <header guid="{77A7ECC2-2A20-4FED-BFB7-804904349BA5}" dateTime="2025-02-05T10:44:12" maxSheetId="2" userName="Третьякова Елена Владимировна" r:id="rId357" minRId="5929" maxRId="5930">
    <sheetIdMap count="1">
      <sheetId val="1"/>
    </sheetIdMap>
  </header>
  <header guid="{BADDF3D4-958A-4A3C-9D35-8DC1AA20FC9E}" dateTime="2025-02-05T10:44:24" maxSheetId="2" userName="Третьякова Елена Владимировна" r:id="rId358" minRId="5931">
    <sheetIdMap count="1">
      <sheetId val="1"/>
    </sheetIdMap>
  </header>
  <header guid="{41087820-0553-4342-97A2-81D8A032951B}" dateTime="2025-02-05T10:44:31" maxSheetId="2" userName="Третьякова Елена Владимировна" r:id="rId359">
    <sheetIdMap count="1">
      <sheetId val="1"/>
    </sheetIdMap>
  </header>
  <header guid="{D4BD540F-4160-42C6-80EC-9D487199D6C8}" dateTime="2025-02-05T10:45:28" maxSheetId="2" userName="Третьякова Елена Владимировна" r:id="rId360" minRId="5932">
    <sheetIdMap count="1">
      <sheetId val="1"/>
    </sheetIdMap>
  </header>
  <header guid="{769D2147-0B61-4672-9CE7-5D8CBA58E5DE}" dateTime="2025-02-05T15:09:44" maxSheetId="2" userName="Третьякова Елена Владимировна" r:id="rId361" minRId="5933">
    <sheetIdMap count="1">
      <sheetId val="1"/>
    </sheetIdMap>
  </header>
  <header guid="{E4BA1749-8655-47B0-9440-87B6EC82228E}" dateTime="2025-02-05T15:12:46" maxSheetId="2" userName="Третьякова Елена Владимировна" r:id="rId362" minRId="5934" maxRId="5937">
    <sheetIdMap count="1">
      <sheetId val="1"/>
    </sheetIdMap>
  </header>
  <header guid="{D18406A2-5D8A-40E1-9AAC-3781134B2FA6}" dateTime="2025-02-05T15:16:45" maxSheetId="2" userName="Третьякова Елена Владимировна" r:id="rId363" minRId="5938" maxRId="5942">
    <sheetIdMap count="1">
      <sheetId val="1"/>
    </sheetIdMap>
  </header>
  <header guid="{3860B4E4-07EF-4C72-9572-51430CDAE0FE}" dateTime="2025-02-05T15:17:55" maxSheetId="2" userName="Третьякова Елена Владимировна" r:id="rId364" minRId="5943">
    <sheetIdMap count="1">
      <sheetId val="1"/>
    </sheetIdMap>
  </header>
  <header guid="{95AAF092-508B-42A0-9F59-56A09F944931}" dateTime="2025-02-05T15:21:11" maxSheetId="2" userName="Третьякова Елена Владимировна" r:id="rId365" minRId="5944" maxRId="5950">
    <sheetIdMap count="1">
      <sheetId val="1"/>
    </sheetIdMap>
  </header>
  <header guid="{3EC305A1-1E7B-4F77-9818-A4BA83A12B6A}" dateTime="2025-02-05T15:22:12" maxSheetId="2" userName="Третьякова Елена Владимировна" r:id="rId366" minRId="5951">
    <sheetIdMap count="1">
      <sheetId val="1"/>
    </sheetIdMap>
  </header>
  <header guid="{4495C035-AE95-4235-8F1D-048495475C0A}" dateTime="2025-02-05T15:24:14" maxSheetId="2" userName="Третьякова Елена Владимировна" r:id="rId367" minRId="5952" maxRId="5955">
    <sheetIdMap count="1">
      <sheetId val="1"/>
    </sheetIdMap>
  </header>
  <header guid="{F5A6B243-9CDB-4731-9253-DCD47403BFBB}" dateTime="2025-02-05T15:42:40" maxSheetId="2" userName="Третьякова Елена Владимировна" r:id="rId368" minRId="5956" maxRId="5962">
    <sheetIdMap count="1">
      <sheetId val="1"/>
    </sheetIdMap>
  </header>
  <header guid="{B0C09621-C575-4E95-A688-E2065E409DCB}" dateTime="2025-02-05T15:46:11" maxSheetId="2" userName="Третьякова Елена Владимировна" r:id="rId369" minRId="5963" maxRId="5964">
    <sheetIdMap count="1">
      <sheetId val="1"/>
    </sheetIdMap>
  </header>
  <header guid="{1B5FA56B-51AC-470A-BB57-1D698D20A259}" dateTime="2025-02-05T15:50:18" maxSheetId="2" userName="Третьякова Елена Владимировна" r:id="rId370" minRId="5965" maxRId="5974">
    <sheetIdMap count="1">
      <sheetId val="1"/>
    </sheetIdMap>
  </header>
  <header guid="{4779FA37-C9A6-49C6-BDBF-51342DFBA9BD}" dateTime="2025-02-05T15:51:03" maxSheetId="2" userName="Третьякова Елена Владимировна" r:id="rId371" minRId="5975">
    <sheetIdMap count="1">
      <sheetId val="1"/>
    </sheetIdMap>
  </header>
  <header guid="{FF4B7745-4235-4B87-B66A-68CC48EE1826}" dateTime="2025-02-05T15:53:26" maxSheetId="2" userName="Третьякова Елена Владимировна" r:id="rId372" minRId="5976" maxRId="5983">
    <sheetIdMap count="1">
      <sheetId val="1"/>
    </sheetIdMap>
  </header>
  <header guid="{80D72343-4CD1-4806-BB95-20108858CCAC}" dateTime="2025-02-05T15:54:57" maxSheetId="2" userName="Третьякова Елена Владимировна" r:id="rId373" minRId="5984" maxRId="5989">
    <sheetIdMap count="1">
      <sheetId val="1"/>
    </sheetIdMap>
  </header>
  <header guid="{13C76F4B-73E5-4814-8EAE-78CA699F4B59}" dateTime="2025-02-05T16:08:14" maxSheetId="2" userName="Третьякова Елена Владимировна" r:id="rId374" minRId="5990" maxRId="6001">
    <sheetIdMap count="1">
      <sheetId val="1"/>
    </sheetIdMap>
  </header>
  <header guid="{FC72AA89-ABD3-4FE4-B416-2418A16A2D93}" dateTime="2025-02-05T16:09:23" maxSheetId="2" userName="Третьякова Елена Владимировна" r:id="rId375" minRId="6002">
    <sheetIdMap count="1">
      <sheetId val="1"/>
    </sheetIdMap>
  </header>
  <header guid="{1BDB88E9-4D0A-4EB4-AF36-7EA47DCC7C96}" dateTime="2025-02-05T16:15:10" maxSheetId="2" userName="Третьякова Елена Владимировна" r:id="rId376" minRId="6003" maxRId="6038">
    <sheetIdMap count="1">
      <sheetId val="1"/>
    </sheetIdMap>
  </header>
  <header guid="{F68FF410-8ABC-434C-941C-93312A1510AF}" dateTime="2025-02-05T16:17:29" maxSheetId="2" userName="Третьякова Елена Владимировна" r:id="rId377" minRId="6041" maxRId="6046">
    <sheetIdMap count="1">
      <sheetId val="1"/>
    </sheetIdMap>
  </header>
  <header guid="{1D6A9B70-1BEE-4200-8AB3-6EBAEF1239A3}" dateTime="2025-02-05T16:28:32" maxSheetId="2" userName="Третьякова Елена Владимировна" r:id="rId378" minRId="6047" maxRId="6059">
    <sheetIdMap count="1">
      <sheetId val="1"/>
    </sheetIdMap>
  </header>
  <header guid="{6572F8E9-0E63-42BB-B527-C9728979CC1B}" dateTime="2025-02-06T08:51:08" maxSheetId="2" userName="Третьякова Елена Владимировна" r:id="rId379" minRId="6060" maxRId="6061">
    <sheetIdMap count="1">
      <sheetId val="1"/>
    </sheetIdMap>
  </header>
  <header guid="{F213EC33-71F9-41D0-9B11-ED92AF23DC66}" dateTime="2025-02-06T08:53:03" maxSheetId="2" userName="Третьякова Елена Владимировна" r:id="rId380" minRId="6062" maxRId="6066">
    <sheetIdMap count="1">
      <sheetId val="1"/>
    </sheetIdMap>
  </header>
  <header guid="{32F71C69-5584-4DBF-B332-686FDF9DD21F}" dateTime="2025-02-06T08:53:11" maxSheetId="2" userName="Третьякова Елена Владимировна" r:id="rId381">
    <sheetIdMap count="1">
      <sheetId val="1"/>
    </sheetIdMap>
  </header>
  <header guid="{93764EE7-2B30-4550-8685-1816DD1CCD8D}" dateTime="2025-02-06T08:56:48" maxSheetId="2" userName="Третьякова Елена Владимировна" r:id="rId382" minRId="6067" maxRId="6072">
    <sheetIdMap count="1">
      <sheetId val="1"/>
    </sheetIdMap>
  </header>
  <header guid="{2021266B-976E-44C2-AB77-10F9D5596D9A}" dateTime="2025-02-06T08:56:55" maxSheetId="2" userName="Третьякова Елена Владимировна" r:id="rId383">
    <sheetIdMap count="1">
      <sheetId val="1"/>
    </sheetIdMap>
  </header>
  <header guid="{120B8C16-019C-4461-B381-4446EAE5AE9D}" dateTime="2025-02-06T08:57:33" maxSheetId="2" userName="Третьякова Елена Владимировна" r:id="rId384">
    <sheetIdMap count="1">
      <sheetId val="1"/>
    </sheetIdMap>
  </header>
  <header guid="{D2D38FD8-0ADE-4BB1-9C4D-090809A1D685}" dateTime="2025-02-06T08:58:16" maxSheetId="2" userName="Третьякова Елена Владимировна" r:id="rId385" minRId="6073" maxRId="6074">
    <sheetIdMap count="1">
      <sheetId val="1"/>
    </sheetIdMap>
  </header>
  <header guid="{15AE212D-2839-4921-A635-BB66234F7614}" dateTime="2025-02-06T09:01:22" maxSheetId="2" userName="Третьякова Елена Владимировна" r:id="rId386" minRId="6075" maxRId="6077">
    <sheetIdMap count="1">
      <sheetId val="1"/>
    </sheetIdMap>
  </header>
  <header guid="{69B7B8AF-A922-468C-AB28-847FA90251B1}" dateTime="2025-03-20T09:10:18" maxSheetId="2" userName="Латышева Ольга Яковлевна" r:id="rId387">
    <sheetIdMap count="1">
      <sheetId val="1"/>
    </sheetIdMap>
  </header>
  <header guid="{C62CFFE3-10E9-4D3E-A312-490AEDCF0A0E}" dateTime="2025-03-25T09:06:30" maxSheetId="2" userName="Латышева Ольга Яковлевна" r:id="rId388">
    <sheetIdMap count="1">
      <sheetId val="1"/>
    </sheetIdMap>
  </header>
  <header guid="{277F736D-A4D9-4A23-9646-AE306F81CCD0}" dateTime="2025-03-27T10:24:34" maxSheetId="2" userName="Третьякова Елена Владимировна" r:id="rId389">
    <sheetIdMap count="1">
      <sheetId val="1"/>
    </sheetIdMap>
  </header>
  <header guid="{30770520-C9EE-4D5D-A4BB-BC051998F4C4}" dateTime="2025-06-19T09:36:27" maxSheetId="2" userName="Молчанова Елена Валерьевна" r:id="rId390" minRId="6086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fmt sheetId="1" xfDxf="1" s="1" sqref="C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right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dxf>
  </rfmt>
  <rcc rId="6086" sId="1" xfDxf="1" dxf="1">
    <oc r="D6" t="inlineStr">
      <is>
        <t xml:space="preserve">         от _____________ ____ года  № ____</t>
      </is>
    </oc>
    <nc r="D6" t="inlineStr">
      <is>
        <t xml:space="preserve">         от  18 июня 2025 года  № 266 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right" readingOrder="0"/>
    </ndxf>
  </rcc>
  <rcv guid="{9A752CC5-36AC-48BE-BF4B-1A38C4015906}" action="delete"/>
  <rdn rId="0" localSheetId="1" customView="1" name="Z_9A752CC5_36AC_48BE_BF4B_1A38C4015906_.wvu.PrintArea" hidden="1" oldHidden="1">
    <formula>'программы '!$A$1:$D$958</formula>
    <oldFormula>'программы '!$A$1:$D$958</oldFormula>
  </rdn>
  <rdn rId="0" localSheetId="1" customView="1" name="Z_9A752CC5_36AC_48BE_BF4B_1A38C4015906_.wvu.FilterData" hidden="1" oldHidden="1">
    <formula>'программы '!$C$1:$C$966</formula>
    <oldFormula>'программы '!$C$1:$C$966</oldFormula>
  </rdn>
  <rcv guid="{9A752CC5-36AC-48BE-BF4B-1A38C4015906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78" sId="1">
    <oc r="D634">
      <f>D635+D643+D639</f>
    </oc>
    <nc r="D634">
      <f>D635+D643+D639+D664</f>
    </nc>
  </rcc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30" sId="1">
    <oc r="F4" t="inlineStr">
      <is>
        <t xml:space="preserve">от                  апреля 2024 года №   </t>
      </is>
    </oc>
    <nc r="F4" t="inlineStr">
      <is>
        <t xml:space="preserve">от                  июня 2024 года №   </t>
      </is>
    </nc>
  </rcc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231" sId="1" ref="A329:XFD329" action="insertRow"/>
  <rrc rId="4232" sId="1" ref="A329:XFD329" action="insertRow"/>
  <rrc rId="4233" sId="1" ref="A329:XFD329" action="insertRow"/>
  <rcc rId="4234" sId="1">
    <nc r="C331">
      <v>612</v>
    </nc>
  </rcc>
  <rcc rId="4235" sId="1">
    <nc r="C330">
      <v>610</v>
    </nc>
  </rcc>
  <rcc rId="4236" sId="1">
    <nc r="C329">
      <v>600</v>
    </nc>
  </rcc>
  <rcc rId="4237" sId="1" xfDxf="1" s="1" dxf="1">
    <nc r="B331" t="inlineStr">
      <is>
        <t>06 2 00 S6910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4238" sId="1" xfDxf="1" s="1" dxf="1">
    <nc r="B330" t="inlineStr">
      <is>
        <t>06 2 00 S6910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4239" sId="1" xfDxf="1" s="1" dxf="1">
    <nc r="B329" t="inlineStr">
      <is>
        <t>06 2 00 S6910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rc rId="4240" sId="1" ref="A329:XFD329" action="insertRow"/>
  <rrc rId="4241" sId="1" ref="A329:XFD329" action="insertRow"/>
  <rrc rId="4242" sId="1" ref="A329:XFD329" action="insertRow"/>
  <rrc rId="4243" sId="1" ref="A329:XFD329" action="insertRow"/>
  <rcc rId="4244" sId="1">
    <nc r="C332">
      <v>244</v>
    </nc>
  </rcc>
  <rcc rId="4245" sId="1">
    <nc r="C331">
      <v>240</v>
    </nc>
  </rcc>
  <rcc rId="4246" sId="1">
    <nc r="C330">
      <v>200</v>
    </nc>
  </rcc>
  <rcc rId="4247" sId="1" xfDxf="1" s="1" dxf="1">
    <nc r="B332" t="inlineStr">
      <is>
        <t>06 2 00 S6910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4248" sId="1" xfDxf="1" s="1" dxf="1">
    <nc r="B331" t="inlineStr">
      <is>
        <t>06 2 00 S6910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4249" sId="1" xfDxf="1" s="1" dxf="1">
    <nc r="B330" t="inlineStr">
      <is>
        <t>06 2 00 S6910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4250" sId="1" xfDxf="1" s="1" dxf="1">
    <nc r="B329" t="inlineStr">
      <is>
        <t>06 2 00 S6910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4251" sId="1" xfDxf="1" dxf="1">
    <nc r="A335" t="inlineStr">
      <is>
        <t>Субсидии бюджетным учреждениям на иные цели</t>
      </is>
    </nc>
    <ndxf>
      <font>
        <name val="Times New Roman"/>
        <scheme val="none"/>
      </font>
      <fill>
        <patternFill patternType="solid">
          <bgColor theme="0"/>
        </patternFill>
      </fill>
      <alignment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252" sId="1" xfDxf="1" dxf="1">
    <nc r="A334" t="inlineStr">
      <is>
        <t>Субсидии бюджетным учреждениям</t>
      </is>
    </nc>
    <ndxf>
      <font>
        <name val="Times New Roman"/>
        <scheme val="none"/>
      </font>
      <fill>
        <patternFill patternType="solid">
          <bgColor theme="0"/>
        </patternFill>
      </fill>
      <alignment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253" sId="1" xfDxf="1" dxf="1">
    <nc r="A333" t="inlineStr">
      <is>
        <t>Предоставление субсидий бюджетным, автономным учреждениям и иным некоммерческим организациям</t>
      </is>
    </nc>
    <ndxf>
      <font>
        <name val="Times New Roman"/>
        <scheme val="none"/>
      </font>
      <fill>
        <patternFill patternType="solid">
          <bgColor theme="0"/>
        </patternFill>
      </fill>
      <alignment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254" sId="1" xfDxf="1" dxf="1">
    <nc r="A332" t="inlineStr">
      <is>
        <t xml:space="preserve">Прочая закупка товаров, работ и услуг </t>
      </is>
    </nc>
    <ndxf>
      <font>
        <name val="Times New Roman"/>
        <scheme val="none"/>
      </font>
      <fill>
        <patternFill patternType="solid">
          <bgColor theme="0"/>
        </patternFill>
      </fill>
      <alignment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255" sId="1" xfDxf="1" dxf="1">
    <nc r="A331" t="inlineStr">
      <is>
        <t>Иные закупки товаров,работ и услуг для обеспечения государственных (муниципальных) нужд</t>
      </is>
    </nc>
    <ndxf>
      <font>
        <name val="Times New Roman"/>
        <scheme val="none"/>
      </font>
      <fill>
        <patternFill patternType="solid">
          <bgColor theme="0"/>
        </patternFill>
      </fill>
      <alignment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256" sId="1" xfDxf="1" dxf="1">
    <nc r="A330" t="inlineStr">
      <is>
        <t>Закупка товаров, работ и услуг для обеспечения государственных (муниципальных) нужд</t>
      </is>
    </nc>
    <ndxf>
      <font>
        <name val="Times New Roman"/>
        <scheme val="none"/>
      </font>
      <fill>
        <patternFill patternType="solid">
          <bgColor theme="0"/>
        </patternFill>
      </fill>
      <alignment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257" sId="1" xfDxf="1" dxf="1">
    <nc r="A329" t="inlineStr">
      <is>
        <t>Реализация мероприятий по содействию трудоустройству несовершеннолетних граждан на территории Архангельской области</t>
      </is>
    </nc>
    <ndxf>
      <font>
        <name val="Times New Roman"/>
        <scheme val="none"/>
      </font>
      <fill>
        <patternFill patternType="solid">
          <bgColor theme="0"/>
        </patternFill>
      </fill>
      <alignment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1" sqref="A329:XFD335">
    <dxf>
      <fill>
        <patternFill>
          <bgColor rgb="FF00B050"/>
        </patternFill>
      </fill>
    </dxf>
  </rfmt>
  <rcc rId="4258" sId="1">
    <nc r="D334">
      <f>D335</f>
    </nc>
  </rcc>
  <rcc rId="4259" sId="1">
    <nc r="E334">
      <f>E335</f>
    </nc>
  </rcc>
  <rcc rId="4260" sId="1">
    <nc r="F334">
      <f>F335</f>
    </nc>
  </rcc>
  <rcc rId="4261" sId="1">
    <nc r="D333">
      <f>D334</f>
    </nc>
  </rcc>
  <rcc rId="4262" sId="1">
    <nc r="E333">
      <f>E334</f>
    </nc>
  </rcc>
  <rcc rId="4263" sId="1">
    <nc r="F333">
      <f>F334</f>
    </nc>
  </rcc>
  <rcc rId="4264" sId="1">
    <nc r="D331">
      <f>D332</f>
    </nc>
  </rcc>
  <rcc rId="4265" sId="1">
    <nc r="E331">
      <f>E332</f>
    </nc>
  </rcc>
  <rcc rId="4266" sId="1">
    <nc r="F331">
      <f>F332</f>
    </nc>
  </rcc>
  <rcc rId="4267" sId="1">
    <nc r="D330">
      <f>D331</f>
    </nc>
  </rcc>
  <rcc rId="4268" sId="1">
    <nc r="E330">
      <f>E331</f>
    </nc>
  </rcc>
  <rcc rId="4269" sId="1">
    <nc r="F330">
      <f>F331</f>
    </nc>
  </rcc>
  <rcc rId="4270" sId="1">
    <nc r="D329">
      <f>D330+D333</f>
    </nc>
  </rcc>
  <rcc rId="4271" sId="1">
    <nc r="E329">
      <f>E330+E333</f>
    </nc>
  </rcc>
  <rcc rId="4272" sId="1">
    <nc r="F329">
      <f>F330+F333</f>
    </nc>
  </rcc>
  <rcv guid="{D9B90A86-BE39-4FED-8226-084809D277F3}" action="delete"/>
  <rdn rId="0" localSheetId="1" customView="1" name="Z_D9B90A86_BE39_4FED_8226_084809D277F3_.wvu.PrintArea" hidden="1" oldHidden="1">
    <formula>'программы '!$A$1:$F$909</formula>
    <oldFormula>'программы '!$A$1:$F$909</oldFormula>
  </rdn>
  <rdn rId="0" localSheetId="1" customView="1" name="Z_D9B90A86_BE39_4FED_8226_084809D277F3_.wvu.FilterData" hidden="1" oldHidden="1">
    <formula>'программы '!$C$1:$C$917</formula>
    <oldFormula>'программы '!$C$1:$C$917</oldFormula>
  </rdn>
  <rcv guid="{D9B90A86-BE39-4FED-8226-084809D277F3}" action="add"/>
</revisions>
</file>

<file path=xl/revisions/revisionLog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75" sId="1">
    <oc r="D322">
      <f>D323+D337+D326</f>
    </oc>
    <nc r="D322">
      <f>D323+D337+D326+D329</f>
    </nc>
  </rcc>
  <rcc rId="4276" sId="1">
    <oc r="E322">
      <f>E323+E337+E326</f>
    </oc>
    <nc r="E322">
      <f>E323+E337+E326+E329</f>
    </nc>
  </rcc>
  <rcc rId="4277" sId="1">
    <oc r="F322">
      <f>F323+F337+F326</f>
    </oc>
    <nc r="F322">
      <f>F323+F337+F326+F329</f>
    </nc>
  </rcc>
  <rrc rId="4278" sId="1" ref="A329:XFD329" action="insertRow"/>
  <rrc rId="4279" sId="1" ref="A329:XFD329" action="insertRow"/>
  <rrc rId="4280" sId="1" ref="A329:XFD329" action="insertRow"/>
  <rrc rId="4281" sId="1" ref="A329:XFD329" action="insertRow"/>
  <rcc rId="4282" sId="1">
    <nc r="C332">
      <v>244</v>
    </nc>
  </rcc>
  <rcc rId="4283" sId="1">
    <nc r="C331">
      <v>240</v>
    </nc>
  </rcc>
  <rcc rId="4284" sId="1">
    <nc r="C330">
      <v>200</v>
    </nc>
  </rcc>
  <rcc rId="4285" sId="1" xfDxf="1" s="1" dxf="1">
    <nc r="B332" t="inlineStr">
      <is>
        <t>06 2 00 S4420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4286" sId="1" xfDxf="1" s="1" dxf="1">
    <nc r="B331" t="inlineStr">
      <is>
        <t>06 2 00 S4420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4287" sId="1" xfDxf="1" s="1" dxf="1">
    <nc r="B330" t="inlineStr">
      <is>
        <t>06 2 00 S4420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4288" sId="1" xfDxf="1" s="1" dxf="1">
    <nc r="B329" t="inlineStr">
      <is>
        <t>06 2 00 S4420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4289" sId="1" xfDxf="1" dxf="1">
    <nc r="A329" t="inlineStr">
      <is>
        <t>Ремонт, реконструкция, благоустройство и установка памятников, обелисков, мемориалов, памятных досок</t>
      </is>
    </nc>
    <ndxf>
      <font>
        <name val="Times New Roman"/>
        <scheme val="none"/>
      </font>
      <fill>
        <patternFill patternType="solid">
          <bgColor theme="0"/>
        </patternFill>
      </fill>
      <alignment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v guid="{D9B90A86-BE39-4FED-8226-084809D277F3}" action="delete"/>
  <rdn rId="0" localSheetId="1" customView="1" name="Z_D9B90A86_BE39_4FED_8226_084809D277F3_.wvu.PrintArea" hidden="1" oldHidden="1">
    <formula>'программы '!$A$1:$F$913</formula>
    <oldFormula>'программы '!$A$1:$F$913</oldFormula>
  </rdn>
  <rdn rId="0" localSheetId="1" customView="1" name="Z_D9B90A86_BE39_4FED_8226_084809D277F3_.wvu.FilterData" hidden="1" oldHidden="1">
    <formula>'программы '!$C$1:$C$921</formula>
    <oldFormula>'программы '!$C$1:$C$921</oldFormula>
  </rdn>
  <rcv guid="{D9B90A86-BE39-4FED-8226-084809D277F3}" action="add"/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292" sId="1" ref="A329:XFD329" action="insertRow"/>
  <rm rId="4293" sheetId="1" source="A341:XFD341" destination="A329:XFD329" sourceSheetId="1">
    <rfmt sheetId="1" xfDxf="1" sqref="A329:XFD329" start="0" length="0">
      <dxf>
        <font>
          <name val="Times New Roman"/>
          <scheme val="none"/>
        </font>
        <alignment vertical="center" readingOrder="0"/>
      </dxf>
    </rfmt>
    <rfmt sheetId="1" sqref="A329" start="0" length="0">
      <dxf>
        <fill>
          <patternFill patternType="solid">
            <bgColor theme="0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="1" sqref="B329" start="0" length="0">
      <dxf>
        <numFmt numFmtId="164" formatCode="_-* #,##0.00_р_._-;\-* #,##0.00_р_._-;_-* &quot;-&quot;??_р_._-;_-@_-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="1" sqref="C329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329" start="0" length="0">
      <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329" start="0" length="0">
      <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329" start="0" length="0">
      <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4294" sId="1" ref="A341:XFD341" action="deleteRow">
    <rfmt sheetId="1" xfDxf="1" sqref="A341:XFD341" start="0" length="0">
      <dxf>
        <font>
          <sz val="11"/>
          <name val="Times New Roman"/>
          <scheme val="none"/>
        </font>
        <alignment vertical="center" readingOrder="0"/>
      </dxf>
    </rfmt>
    <rfmt sheetId="1" sqref="A341" start="0" length="0">
      <dxf>
        <fill>
          <patternFill patternType="solid">
            <bgColor theme="0"/>
          </patternFill>
        </fill>
      </dxf>
    </rfmt>
    <rfmt sheetId="1" sqref="B341" start="0" length="0">
      <dxf>
        <fill>
          <patternFill patternType="solid">
            <bgColor theme="0"/>
          </patternFill>
        </fill>
        <alignment horizontal="center" readingOrder="0"/>
      </dxf>
    </rfmt>
    <rfmt sheetId="1" sqref="C341" start="0" length="0">
      <dxf>
        <fill>
          <patternFill patternType="solid">
            <bgColor theme="0"/>
          </patternFill>
        </fill>
        <alignment horizontal="center" readingOrder="0"/>
      </dxf>
    </rfmt>
    <rfmt sheetId="1" sqref="D341" start="0" length="0">
      <dxf>
        <numFmt numFmtId="164" formatCode="_-* #,##0.00_р_._-;\-* #,##0.00_р_._-;_-* &quot;-&quot;??_р_._-;_-@_-"/>
        <fill>
          <patternFill patternType="solid">
            <bgColor theme="0"/>
          </patternFill>
        </fill>
      </dxf>
    </rfmt>
    <rfmt sheetId="1" sqref="E341" start="0" length="0">
      <dxf>
        <numFmt numFmtId="164" formatCode="_-* #,##0.00_р_._-;\-* #,##0.00_р_._-;_-* &quot;-&quot;??_р_._-;_-@_-"/>
        <fill>
          <patternFill patternType="solid">
            <bgColor theme="0"/>
          </patternFill>
        </fill>
      </dxf>
    </rfmt>
    <rfmt sheetId="1" sqref="F341" start="0" length="0">
      <dxf>
        <numFmt numFmtId="164" formatCode="_-* #,##0.00_р_._-;\-* #,##0.00_р_._-;_-* &quot;-&quot;??_р_._-;_-@_-"/>
        <fill>
          <patternFill patternType="solid">
            <bgColor theme="0"/>
          </patternFill>
        </fill>
      </dxf>
    </rfmt>
  </rrc>
  <rcc rId="4295" sId="1" xfDxf="1" dxf="1">
    <nc r="A331" t="inlineStr">
      <is>
        <t>Закупка товаров, работ и услуг для обеспечения государственных (муниципальных) нужд</t>
      </is>
    </nc>
    <ndxf>
      <font>
        <name val="Times New Roman"/>
        <scheme val="none"/>
      </font>
      <fill>
        <patternFill patternType="solid">
          <bgColor theme="0"/>
        </patternFill>
      </fill>
      <alignment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296" sId="1" xfDxf="1" dxf="1">
    <nc r="A332" t="inlineStr">
      <is>
        <t>Иные закупки товаров,работ и услуг для обеспечения государственных (муниципальных) нужд</t>
      </is>
    </nc>
    <ndxf>
      <font>
        <name val="Times New Roman"/>
        <scheme val="none"/>
      </font>
      <fill>
        <patternFill patternType="solid">
          <bgColor theme="0"/>
        </patternFill>
      </fill>
      <alignment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297" sId="1" xfDxf="1" dxf="1">
    <nc r="A333" t="inlineStr">
      <is>
        <t xml:space="preserve">Прочая закупка товаров, работ и услуг </t>
      </is>
    </nc>
    <ndxf>
      <font>
        <name val="Times New Roman"/>
        <scheme val="none"/>
      </font>
      <fill>
        <patternFill patternType="solid">
          <bgColor theme="0"/>
        </patternFill>
      </fill>
      <alignment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298" sId="1">
    <nc r="D332">
      <f>D333</f>
    </nc>
  </rcc>
  <rcc rId="4299" sId="1">
    <nc r="E332">
      <f>E333</f>
    </nc>
  </rcc>
  <rcc rId="4300" sId="1">
    <nc r="F332">
      <f>F333</f>
    </nc>
  </rcc>
  <rcc rId="4301" sId="1">
    <nc r="D330">
      <f>D331</f>
    </nc>
  </rcc>
  <rcc rId="4302" sId="1">
    <nc r="E330">
      <f>E331</f>
    </nc>
  </rcc>
  <rcc rId="4303" sId="1">
    <nc r="F330">
      <f>F331</f>
    </nc>
  </rcc>
  <rcc rId="4304" sId="1">
    <nc r="D331">
      <f>D332</f>
    </nc>
  </rcc>
  <rcc rId="4305" sId="1">
    <nc r="E331">
      <f>E332</f>
    </nc>
  </rcc>
  <rcc rId="4306" sId="1">
    <nc r="F331">
      <f>F332</f>
    </nc>
  </rcc>
  <rfmt sheetId="1" sqref="A330:XFD333">
    <dxf>
      <fill>
        <patternFill>
          <bgColor rgb="FF00B050"/>
        </patternFill>
      </fill>
    </dxf>
  </rfmt>
  <rcc rId="4307" sId="1">
    <oc r="D322">
      <f>D323+D341+D326+D334</f>
    </oc>
    <nc r="D322">
      <f>D323+D341+D326+D334+D330</f>
    </nc>
  </rcc>
  <rcc rId="4308" sId="1">
    <oc r="E322">
      <f>E323+E341+E326+E334</f>
    </oc>
    <nc r="E322">
      <f>E323+E341+E326+E334+E330</f>
    </nc>
  </rcc>
  <rcc rId="4309" sId="1">
    <oc r="F322">
      <f>F323+F341+F326+F334</f>
    </oc>
    <nc r="F322">
      <f>F323+F341+F326+F334+F330</f>
    </nc>
  </rcc>
  <rcv guid="{D9B90A86-BE39-4FED-8226-084809D277F3}" action="delete"/>
  <rdn rId="0" localSheetId="1" customView="1" name="Z_D9B90A86_BE39_4FED_8226_084809D277F3_.wvu.PrintArea" hidden="1" oldHidden="1">
    <formula>'программы '!$A$1:$F$913</formula>
    <oldFormula>'программы '!$A$1:$F$913</oldFormula>
  </rdn>
  <rdn rId="0" localSheetId="1" customView="1" name="Z_D9B90A86_BE39_4FED_8226_084809D277F3_.wvu.FilterData" hidden="1" oldHidden="1">
    <formula>'программы '!$C$1:$C$921</formula>
    <oldFormula>'программы '!$C$1:$C$921</oldFormula>
  </rdn>
  <rcv guid="{D9B90A86-BE39-4FED-8226-084809D277F3}" action="add"/>
</revisions>
</file>

<file path=xl/revisions/revisionLog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9B90A86-BE39-4FED-8226-084809D277F3}" action="delete"/>
  <rdn rId="0" localSheetId="1" customView="1" name="Z_D9B90A86_BE39_4FED_8226_084809D277F3_.wvu.PrintArea" hidden="1" oldHidden="1">
    <formula>'программы '!$A$1:$F$913</formula>
    <oldFormula>'программы '!$A$1:$F$913</oldFormula>
  </rdn>
  <rdn rId="0" localSheetId="1" customView="1" name="Z_D9B90A86_BE39_4FED_8226_084809D277F3_.wvu.FilterData" hidden="1" oldHidden="1">
    <formula>'программы '!$C$1:$C$921</formula>
    <oldFormula>'программы '!$C$1:$C$921</oldFormula>
  </rdn>
  <rcv guid="{D9B90A86-BE39-4FED-8226-084809D277F3}" action="add"/>
</revisions>
</file>

<file path=xl/revisions/revisionLog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314" sId="1" ref="A249:XFD249" action="insertRow">
    <undo index="0" exp="area" ref3D="1" dr="$A$294:$XFD$298" dn="Z_30E81E54_DD45_4653_9DCD_548F6723F554_.wvu.Rows" sId="1"/>
  </rrc>
  <rrc rId="4315" sId="1" ref="A249:XFD249" action="insertRow">
    <undo index="0" exp="area" ref3D="1" dr="$A$295:$XFD$299" dn="Z_30E81E54_DD45_4653_9DCD_548F6723F554_.wvu.Rows" sId="1"/>
  </rrc>
  <rrc rId="4316" sId="1" ref="A249:XFD249" action="insertRow">
    <undo index="0" exp="area" ref3D="1" dr="$A$296:$XFD$300" dn="Z_30E81E54_DD45_4653_9DCD_548F6723F554_.wvu.Rows" sId="1"/>
  </rrc>
  <rfmt sheetId="1" sqref="A249:XFD251">
    <dxf>
      <fill>
        <patternFill>
          <bgColor rgb="FF00B050"/>
        </patternFill>
      </fill>
    </dxf>
  </rfmt>
  <rcc rId="4317" sId="1">
    <nc r="C251" t="inlineStr">
      <is>
        <t>414</t>
      </is>
    </nc>
  </rcc>
  <rcc rId="4318" sId="1">
    <nc r="C250" t="inlineStr">
      <is>
        <t>410</t>
      </is>
    </nc>
  </rcc>
  <rcc rId="4319" sId="1">
    <nc r="C249" t="inlineStr">
      <is>
        <t>400</t>
      </is>
    </nc>
  </rcc>
  <rcc rId="4320" sId="1" xfDxf="1" dxf="1">
    <nc r="A251" t="inlineStr">
      <is>
        <t>Бюджетные инвестиции в объекты капитального строительства государственной (муниципальной) собственности</t>
      </is>
    </nc>
    <ndxf>
      <font>
        <name val="Times New Roman"/>
        <scheme val="none"/>
      </font>
      <fill>
        <patternFill patternType="solid">
          <bgColor rgb="FF00B05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321" sId="1" xfDxf="1" dxf="1">
    <nc r="A250" t="inlineStr">
      <is>
        <t>Бюджетные инвестиции</t>
      </is>
    </nc>
    <ndxf>
      <font>
        <name val="Times New Roman"/>
        <scheme val="none"/>
      </font>
      <fill>
        <patternFill patternType="solid">
          <bgColor rgb="FF00B05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322" sId="1" xfDxf="1" dxf="1">
    <nc r="A249" t="inlineStr">
      <is>
        <t>Капитальные вложения в объекты государственной (муниципальной) собственности</t>
      </is>
    </nc>
    <ndxf>
      <font>
        <name val="Times New Roman"/>
        <scheme val="none"/>
      </font>
      <fill>
        <patternFill patternType="solid">
          <bgColor rgb="FF00B05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323" sId="1">
    <nc r="B251" t="inlineStr">
      <is>
        <t>04 0 00 Э8160</t>
      </is>
    </nc>
  </rcc>
  <rcc rId="4324" sId="1">
    <nc r="B250" t="inlineStr">
      <is>
        <t>04 0 00 Э8160</t>
      </is>
    </nc>
  </rcc>
  <rcc rId="4325" sId="1">
    <nc r="B249" t="inlineStr">
      <is>
        <t>04 0 00 Э8160</t>
      </is>
    </nc>
  </rcc>
  <rcc rId="4326" sId="1">
    <nc r="D250">
      <f>D251</f>
    </nc>
  </rcc>
  <rcc rId="4327" sId="1">
    <nc r="E250">
      <f>E251</f>
    </nc>
  </rcc>
  <rcc rId="4328" sId="1">
    <nc r="F250">
      <f>F251</f>
    </nc>
  </rcc>
  <rcc rId="4329" sId="1">
    <nc r="D249">
      <f>D250</f>
    </nc>
  </rcc>
  <rcc rId="4330" sId="1">
    <nc r="E249">
      <f>E250</f>
    </nc>
  </rcc>
  <rcc rId="4331" sId="1">
    <nc r="F249">
      <f>F250</f>
    </nc>
  </rcc>
  <rcc rId="4332" sId="1">
    <oc r="D245">
      <f>D246</f>
    </oc>
    <nc r="D245">
      <f>D246+D249</f>
    </nc>
  </rcc>
  <rcc rId="4333" sId="1" odxf="1" s="1" dxf="1">
    <oc r="E245">
      <f>E246</f>
    </oc>
    <nc r="E245">
      <f>E246+E249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odxf>
    <ndxf>
      <border outline="0">
        <bottom style="thin">
          <color indexed="64"/>
        </bottom>
      </border>
    </ndxf>
  </rcc>
  <rcc rId="4334" sId="1" odxf="1" s="1" dxf="1">
    <oc r="F245">
      <f>F246</f>
    </oc>
    <nc r="F245">
      <f>F246+F249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odxf>
    <ndxf>
      <border outline="0">
        <bottom style="thin">
          <color indexed="64"/>
        </bottom>
      </border>
    </ndxf>
  </rcc>
  <rcv guid="{D9B90A86-BE39-4FED-8226-084809D277F3}" action="delete"/>
  <rdn rId="0" localSheetId="1" customView="1" name="Z_D9B90A86_BE39_4FED_8226_084809D277F3_.wvu.PrintArea" hidden="1" oldHidden="1">
    <formula>'программы '!$A$1:$F$916</formula>
    <oldFormula>'программы '!$A$1:$F$916</oldFormula>
  </rdn>
  <rdn rId="0" localSheetId="1" customView="1" name="Z_D9B90A86_BE39_4FED_8226_084809D277F3_.wvu.FilterData" hidden="1" oldHidden="1">
    <formula>'программы '!$C$1:$C$924</formula>
    <oldFormula>'программы '!$C$1:$C$924</oldFormula>
  </rdn>
  <rcv guid="{D9B90A86-BE39-4FED-8226-084809D277F3}" action="add"/>
</revisions>
</file>

<file path=xl/revisions/revisionLog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337" sId="1" ref="A298:XFD298" action="insertRow">
    <undo index="0" exp="area" ref3D="1" dr="$A$297:$XFD$301" dn="Z_30E81E54_DD45_4653_9DCD_548F6723F554_.wvu.Rows" sId="1"/>
  </rrc>
  <rrc rId="4338" sId="1" ref="A298:XFD298" action="insertRow">
    <undo index="0" exp="area" ref3D="1" dr="$A$297:$XFD$302" dn="Z_30E81E54_DD45_4653_9DCD_548F6723F554_.wvu.Rows" sId="1"/>
  </rrc>
  <rrc rId="4339" sId="1" ref="A299:XFD299" action="insertRow">
    <undo index="0" exp="area" ref3D="1" dr="$A$297:$XFD$303" dn="Z_30E81E54_DD45_4653_9DCD_548F6723F554_.wvu.Rows" sId="1"/>
  </rrc>
  <rrc rId="4340" sId="1" ref="A298:XFD298" action="insertRow">
    <undo index="0" exp="area" ref3D="1" dr="$A$297:$XFD$304" dn="Z_30E81E54_DD45_4653_9DCD_548F6723F554_.wvu.Rows" sId="1"/>
  </rrc>
  <rcc rId="4341" sId="1">
    <nc r="C301">
      <v>244</v>
    </nc>
  </rcc>
  <rcc rId="4342" sId="1">
    <nc r="C300">
      <v>240</v>
    </nc>
  </rcc>
  <rcc rId="4343" sId="1">
    <nc r="C299">
      <v>200</v>
    </nc>
  </rcc>
  <rcc rId="4344" sId="1">
    <nc r="B301" t="inlineStr">
      <is>
        <t>05 4 00 Э8160</t>
      </is>
    </nc>
  </rcc>
  <rcc rId="4345" sId="1">
    <nc r="B300" t="inlineStr">
      <is>
        <t>05 4 00 Э8160</t>
      </is>
    </nc>
  </rcc>
  <rcc rId="4346" sId="1" xfDxf="1" s="1" dxf="1">
    <nc r="B299" t="inlineStr">
      <is>
        <t>05 4 00 Э8160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4347" sId="1" xfDxf="1" s="1" dxf="1">
    <nc r="B298" t="inlineStr">
      <is>
        <t>05 4 00 Э8160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4348" sId="1" xfDxf="1" dxf="1">
    <nc r="A301" t="inlineStr">
      <is>
        <t xml:space="preserve">Прочая закупка товаров, работ и услуг 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349" sId="1" xfDxf="1" dxf="1">
    <nc r="A300" t="inlineStr">
      <is>
        <t>Иные закупки товаров,работ и услуг для обеспечения государственных (муниципальных) нужд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350" sId="1" xfDxf="1" dxf="1">
    <nc r="A299" t="inlineStr">
      <is>
        <t>Закупка товаров, работ и услуг для обеспечения государственных (муниципальных) нужд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351" sId="1" xfDxf="1" dxf="1">
    <nc r="A298" t="inlineStr">
      <is>
        <t>Реализация мероприятий по социально-экономическому развитию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1" sqref="A298:XFD301">
    <dxf>
      <fill>
        <patternFill>
          <bgColor theme="5" tint="0.39997558519241921"/>
        </patternFill>
      </fill>
    </dxf>
  </rfmt>
  <rcc rId="4352" sId="1">
    <nc r="D300">
      <f>D301</f>
    </nc>
  </rcc>
  <rcc rId="4353" sId="1">
    <nc r="E300">
      <f>E301</f>
    </nc>
  </rcc>
  <rcc rId="4354" sId="1">
    <nc r="F300">
      <f>F301</f>
    </nc>
  </rcc>
  <rcc rId="4355" sId="1">
    <nc r="D298">
      <f>D299</f>
    </nc>
  </rcc>
  <rcc rId="4356" sId="1">
    <nc r="E298">
      <f>E299</f>
    </nc>
  </rcc>
  <rcc rId="4357" sId="1">
    <nc r="F298">
      <f>F299</f>
    </nc>
  </rcc>
  <rcc rId="4358" sId="1">
    <nc r="D299">
      <f>D300</f>
    </nc>
  </rcc>
  <rcc rId="4359" sId="1">
    <nc r="E299">
      <f>E300</f>
    </nc>
  </rcc>
  <rcc rId="4360" sId="1">
    <nc r="F299">
      <f>F300</f>
    </nc>
  </rcc>
  <rcc rId="4361" sId="1">
    <oc r="D297">
      <f>D305</f>
    </oc>
    <nc r="D297">
      <f>D305+D298</f>
    </nc>
  </rcc>
  <rcc rId="4362" sId="1">
    <oc r="E297">
      <f>E305</f>
    </oc>
    <nc r="E297">
      <f>E305+E298</f>
    </nc>
  </rcc>
  <rcc rId="4363" sId="1">
    <oc r="F297">
      <f>F305</f>
    </oc>
    <nc r="F297">
      <f>F305+F298</f>
    </nc>
  </rcc>
  <rcv guid="{D9B90A86-BE39-4FED-8226-084809D277F3}" action="delete"/>
  <rdn rId="0" localSheetId="1" customView="1" name="Z_D9B90A86_BE39_4FED_8226_084809D277F3_.wvu.PrintArea" hidden="1" oldHidden="1">
    <formula>'программы '!$A$1:$F$920</formula>
    <oldFormula>'программы '!$A$1:$F$920</oldFormula>
  </rdn>
  <rdn rId="0" localSheetId="1" customView="1" name="Z_D9B90A86_BE39_4FED_8226_084809D277F3_.wvu.FilterData" hidden="1" oldHidden="1">
    <formula>'программы '!$C$1:$C$928</formula>
    <oldFormula>'программы '!$C$1:$C$928</oldFormula>
  </rdn>
  <rcv guid="{D9B90A86-BE39-4FED-8226-084809D277F3}" action="add"/>
</revisions>
</file>

<file path=xl/revisions/revisionLog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366" sId="1" ref="A818:XFD818" action="insertRow"/>
  <rrc rId="4367" sId="1" ref="A818:XFD818" action="insertRow"/>
  <rrc rId="4368" sId="1" ref="A818:XFD818" action="insertRow"/>
  <rrc rId="4369" sId="1" ref="A819:XFD819" action="insertRow"/>
  <rcc rId="4370" sId="1">
    <nc r="C821">
      <v>247</v>
    </nc>
  </rcc>
  <rcc rId="4371" sId="1">
    <nc r="C820">
      <v>244</v>
    </nc>
  </rcc>
  <rcc rId="4372" sId="1">
    <nc r="C819">
      <v>240</v>
    </nc>
  </rcc>
  <rcc rId="4373" sId="1">
    <nc r="C818">
      <v>200</v>
    </nc>
  </rcc>
  <rcc rId="4374" sId="1" xfDxf="1" dxf="1">
    <nc r="A821" t="inlineStr">
      <is>
        <t>Закупка энергетических ресурсов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818:XFD821">
    <dxf>
      <fill>
        <patternFill>
          <bgColor theme="5" tint="0.39997558519241921"/>
        </patternFill>
      </fill>
    </dxf>
  </rfmt>
  <rcc rId="4375" sId="1" xfDxf="1" dxf="1">
    <nc r="A820" t="inlineStr">
      <is>
        <t xml:space="preserve">Прочая закупка товаров, работ и услуг </t>
      </is>
    </nc>
    <ndxf>
      <font>
        <name val="Times New Roman"/>
        <scheme val="none"/>
      </font>
      <fill>
        <patternFill patternType="solid">
          <bgColor theme="5" tint="0.39997558519241921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76" sId="1" xfDxf="1" dxf="1">
    <nc r="A819" t="inlineStr">
      <is>
        <t>Иные закупки товаров,работ и услуг для обеспечения государственных (муниципальных) нужд</t>
      </is>
    </nc>
    <ndxf>
      <font>
        <name val="Times New Roman"/>
        <scheme val="none"/>
      </font>
      <fill>
        <patternFill patternType="solid">
          <bgColor theme="5" tint="0.39997558519241921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77" sId="1" xfDxf="1" dxf="1">
    <nc r="A818" t="inlineStr">
      <is>
        <t>Закупка товаров, работ и услуг для обеспечения государственных (муниципальных) нужд</t>
      </is>
    </nc>
    <ndxf>
      <font>
        <name val="Times New Roman"/>
        <scheme val="none"/>
      </font>
      <fill>
        <patternFill patternType="solid">
          <bgColor theme="5" tint="0.39997558519241921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378" sId="1">
    <nc r="B821" t="inlineStr">
      <is>
        <t>60 0 00 80020</t>
      </is>
    </nc>
  </rcc>
  <rcc rId="4379" sId="1" xfDxf="1" dxf="1">
    <nc r="B820" t="inlineStr">
      <is>
        <t>60 0 00 80020</t>
      </is>
    </nc>
    <ndxf>
      <font>
        <name val="Times New Roman"/>
        <scheme val="none"/>
      </font>
      <fill>
        <patternFill patternType="solid">
          <bgColor theme="5" tint="0.39997558519241921"/>
        </patternFill>
      </fill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4380" sId="1" xfDxf="1" dxf="1">
    <nc r="B819" t="inlineStr">
      <is>
        <t>60 0 00 80020</t>
      </is>
    </nc>
    <ndxf>
      <font>
        <name val="Times New Roman"/>
        <scheme val="none"/>
      </font>
      <fill>
        <patternFill patternType="solid">
          <bgColor theme="5" tint="0.39997558519241921"/>
        </patternFill>
      </fill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4381" sId="1" xfDxf="1" dxf="1">
    <nc r="B818" t="inlineStr">
      <is>
        <t>60 0 00 80020</t>
      </is>
    </nc>
    <ndxf>
      <font>
        <name val="Times New Roman"/>
        <scheme val="none"/>
      </font>
      <fill>
        <patternFill patternType="solid">
          <bgColor theme="5" tint="0.39997558519241921"/>
        </patternFill>
      </fill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4382" sId="1">
    <nc r="D819">
      <f>D820+D821</f>
    </nc>
  </rcc>
  <rcc rId="4383" sId="1">
    <nc r="E819">
      <f>E820+E821</f>
    </nc>
  </rcc>
  <rcc rId="4384" sId="1">
    <nc r="F819">
      <f>F820+F821</f>
    </nc>
  </rcc>
  <rcc rId="4385" sId="1">
    <nc r="D818">
      <f>D819</f>
    </nc>
  </rcc>
  <rcc rId="4386" sId="1">
    <nc r="E818">
      <f>E819</f>
    </nc>
  </rcc>
  <rcc rId="4387" sId="1">
    <nc r="F818">
      <f>F819</f>
    </nc>
  </rcc>
  <rcc rId="4388" sId="1">
    <oc r="D817">
      <f>D822</f>
    </oc>
    <nc r="D817">
      <f>D822+D818</f>
    </nc>
  </rcc>
  <rcc rId="4389" sId="1">
    <oc r="E817">
      <f>E822</f>
    </oc>
    <nc r="E817">
      <f>E822+E818</f>
    </nc>
  </rcc>
  <rcc rId="4390" sId="1">
    <oc r="F817">
      <f>F822</f>
    </oc>
    <nc r="F817">
      <f>F822+F818</f>
    </nc>
  </rcc>
  <rcv guid="{D9B90A86-BE39-4FED-8226-084809D277F3}" action="delete"/>
  <rdn rId="0" localSheetId="1" customView="1" name="Z_D9B90A86_BE39_4FED_8226_084809D277F3_.wvu.PrintArea" hidden="1" oldHidden="1">
    <formula>'программы '!$A$1:$F$924</formula>
    <oldFormula>'программы '!$A$1:$F$924</oldFormula>
  </rdn>
  <rdn rId="0" localSheetId="1" customView="1" name="Z_D9B90A86_BE39_4FED_8226_084809D277F3_.wvu.FilterData" hidden="1" oldHidden="1">
    <formula>'программы '!$C$1:$C$932</formula>
    <oldFormula>'программы '!$C$1:$C$932</oldFormula>
  </rdn>
  <rcv guid="{D9B90A86-BE39-4FED-8226-084809D277F3}" action="add"/>
</revisions>
</file>

<file path=xl/revisions/revisionLog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393" sId="1" ref="A342:XFD342" action="insertRow"/>
  <rrc rId="4394" sId="1" ref="A342:XFD342" action="insertRow"/>
  <rrc rId="4395" sId="1" ref="A342:XFD342" action="insertRow"/>
  <rrc rId="4396" sId="1" ref="A343:XFD343" action="insertRow"/>
  <rrc rId="4397" sId="1" ref="A343:XFD343" action="insertRow"/>
  <rfmt sheetId="1" sqref="A342:XFD346">
    <dxf>
      <fill>
        <patternFill>
          <bgColor theme="7" tint="0.39997558519241921"/>
        </patternFill>
      </fill>
    </dxf>
  </rfmt>
  <rcc rId="4398" sId="1">
    <nc r="C346">
      <v>129</v>
    </nc>
  </rcc>
  <rcc rId="4399" sId="1">
    <nc r="C345">
      <v>121</v>
    </nc>
  </rcc>
  <rcc rId="4400" sId="1">
    <nc r="C344">
      <v>120</v>
    </nc>
  </rcc>
  <rcc rId="4401" sId="1">
    <nc r="C343">
      <v>100</v>
    </nc>
  </rcc>
  <rrc rId="4402" sId="1" ref="A342:XFD342" action="deleteRow">
    <rfmt sheetId="1" xfDxf="1" sqref="A342:XFD342" start="0" length="0">
      <dxf>
        <font>
          <name val="Times New Roman"/>
          <scheme val="none"/>
        </font>
        <fill>
          <patternFill patternType="solid">
            <bgColor theme="7" tint="0.39997558519241921"/>
          </patternFill>
        </fill>
        <alignment vertical="center" readingOrder="0"/>
      </dxf>
    </rfmt>
    <rfmt sheetId="1" sqref="A342" start="0" length="0">
      <dxf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="1" sqref="B342" start="0" length="0">
      <dxf>
        <numFmt numFmtId="164" formatCode="_-* #,##0.00_р_._-;\-* #,##0.00_р_._-;_-* &quot;-&quot;??_р_._-;_-@_-"/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="1" sqref="C342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342" start="0" length="0">
      <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342" start="0" length="0">
      <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342" start="0" length="0">
      <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4403" sId="1" xfDxf="1" s="1" dxf="1">
    <nc r="B345" t="inlineStr">
      <is>
        <t>06 2 00 S6910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4404" sId="1" xfDxf="1" s="1" dxf="1">
    <nc r="B344" t="inlineStr">
      <is>
        <t>06 2 00 S6910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4405" sId="1" xfDxf="1" s="1" dxf="1">
    <nc r="B343" t="inlineStr">
      <is>
        <t>06 2 00 S6910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4406" sId="1" xfDxf="1" s="1" dxf="1">
    <nc r="B342" t="inlineStr">
      <is>
        <t>06 2 00 S6910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solid">
          <fgColor indexed="64"/>
          <bgColor theme="7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4407" sId="1" xfDxf="1" dxf="1">
    <nc r="A345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  <ndxf>
      <font>
        <name val="Times New Roman"/>
        <scheme val="none"/>
      </font>
      <fill>
        <patternFill patternType="solid">
          <bgColor theme="7" tint="0.39997558519241921"/>
        </patternFill>
      </fill>
      <alignment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408" sId="1" xfDxf="1" dxf="1">
    <nc r="A344" t="inlineStr">
      <is>
        <t>Фонд оплаты труда государственных (муниципальных) органов</t>
      </is>
    </nc>
    <ndxf>
      <font>
        <name val="Times New Roman"/>
        <scheme val="none"/>
      </font>
      <fill>
        <patternFill patternType="solid">
          <bgColor theme="7" tint="0.39997558519241921"/>
        </patternFill>
      </fill>
      <alignment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409" sId="1" xfDxf="1" dxf="1">
    <nc r="A343" t="inlineStr">
      <is>
        <t>Расходы на выплаты персоналу государственных (муниципальных) органов</t>
      </is>
    </nc>
    <ndxf>
      <font>
        <name val="Times New Roman"/>
        <scheme val="none"/>
      </font>
      <fill>
        <patternFill patternType="solid">
          <bgColor theme="7" tint="0.39997558519241921"/>
        </patternFill>
      </fill>
      <alignment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410" sId="1" xfDxf="1" dxf="1">
    <nc r="A342" t="inlineStr">
      <is>
    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  </is>
    </nc>
    <ndxf>
      <font>
        <name val="Times New Roman"/>
        <scheme val="none"/>
      </font>
      <fill>
        <patternFill patternType="solid">
          <bgColor theme="7" tint="0.39997558519241921"/>
        </patternFill>
      </fill>
      <alignment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411" sId="1">
    <nc r="D343">
      <f>D344+D345</f>
    </nc>
  </rcc>
  <rcc rId="4412" sId="1">
    <nc r="E343">
      <f>E344+E345</f>
    </nc>
  </rcc>
  <rcc rId="4413" sId="1">
    <nc r="F343">
      <f>F344+F345</f>
    </nc>
  </rcc>
  <rcc rId="4414" sId="1">
    <nc r="D342">
      <f>D343+D344</f>
    </nc>
  </rcc>
  <rcc rId="4415" sId="1">
    <nc r="E342">
      <f>E343+E344</f>
    </nc>
  </rcc>
  <rcc rId="4416" sId="1">
    <nc r="F342">
      <f>F343+F344</f>
    </nc>
  </rcc>
  <rcc rId="4417" sId="1">
    <oc r="D341">
      <f>D346+D349</f>
    </oc>
    <nc r="D341">
      <f>D346+D349+D342</f>
    </nc>
  </rcc>
  <rcc rId="4418" sId="1">
    <oc r="E341">
      <f>E346+E349</f>
    </oc>
    <nc r="E341">
      <f>E346+E349+E342</f>
    </nc>
  </rcc>
  <rcc rId="4419" sId="1">
    <oc r="F341">
      <f>F346+F349</f>
    </oc>
    <nc r="F341">
      <f>F346+F349+F342</f>
    </nc>
  </rcc>
  <rcv guid="{D9B90A86-BE39-4FED-8226-084809D277F3}" action="delete"/>
  <rdn rId="0" localSheetId="1" customView="1" name="Z_D9B90A86_BE39_4FED_8226_084809D277F3_.wvu.PrintArea" hidden="1" oldHidden="1">
    <formula>'программы '!$A$1:$F$928</formula>
    <oldFormula>'программы '!$A$1:$F$928</oldFormula>
  </rdn>
  <rdn rId="0" localSheetId="1" customView="1" name="Z_D9B90A86_BE39_4FED_8226_084809D277F3_.wvu.FilterData" hidden="1" oldHidden="1">
    <formula>'программы '!$C$1:$C$936</formula>
    <oldFormula>'программы '!$C$1:$C$936</oldFormula>
  </rdn>
  <rcv guid="{D9B90A86-BE39-4FED-8226-084809D277F3}" action="add"/>
</revisions>
</file>

<file path=xl/revisions/revisionLog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625" sId="1" ref="A782:XFD782" action="insertRow">
    <undo index="16" exp="area" ref3D="1" dr="$A$840:$XFD$843" dn="Z_9A752CC5_36AC_48BE_BF4B_1A38C4015906_.wvu.Rows" sId="1"/>
    <undo index="14" exp="area" ref3D="1" dr="$A$794:$XFD$797" dn="Z_9A752CC5_36AC_48BE_BF4B_1A38C4015906_.wvu.Rows" sId="1"/>
  </rrc>
  <rcc rId="4626" sId="1">
    <nc r="C782">
      <v>243</v>
    </nc>
  </rcc>
  <rcc rId="4627" sId="1">
    <nc r="B782" t="inlineStr">
      <is>
        <t>59 0 00 83650</t>
      </is>
    </nc>
  </rcc>
  <rcc rId="4628" sId="1">
    <nc r="A782" t="inlineStr">
      <is>
        <t>Закупка товаров, работ и услуг в целях капитального ремонта государственного (муниципального) имущества</t>
      </is>
    </nc>
  </rcc>
  <rcc rId="4629" sId="1" numFmtId="34">
    <nc r="D782">
      <v>97542.24</v>
    </nc>
  </rcc>
  <rcc rId="4630" sId="1" numFmtId="34">
    <nc r="E782">
      <v>0</v>
    </nc>
  </rcc>
  <rcc rId="4631" sId="1" numFmtId="34">
    <nc r="F782">
      <v>0</v>
    </nc>
  </rcc>
  <rcc rId="4632" sId="1">
    <oc r="D781">
      <f>D783+D784</f>
    </oc>
    <nc r="D781">
      <f>D783+D784+D782</f>
    </nc>
  </rcc>
  <rcc rId="4633" sId="1">
    <oc r="E781">
      <f>E783+E784</f>
    </oc>
    <nc r="E781">
      <f>E783+E784+E782</f>
    </nc>
  </rcc>
  <rcc rId="4634" sId="1">
    <oc r="F781">
      <f>F783+F784</f>
    </oc>
    <nc r="F781">
      <f>F783+F784+F782</f>
    </nc>
  </rcc>
  <rfmt sheetId="1" sqref="D781">
    <dxf>
      <fill>
        <patternFill patternType="solid">
          <bgColor rgb="FFFFFF00"/>
        </patternFill>
      </fill>
    </dxf>
  </rfmt>
  <rfmt sheetId="1" sqref="D781">
    <dxf>
      <fill>
        <patternFill>
          <bgColor theme="0"/>
        </patternFill>
      </fill>
    </dxf>
  </rfmt>
  <rfmt sheetId="1" sqref="D782">
    <dxf>
      <fill>
        <patternFill patternType="solid">
          <bgColor rgb="FFFFFF00"/>
        </patternFill>
      </fill>
    </dxf>
  </rfmt>
  <rcc rId="4635" sId="1" numFmtId="34">
    <oc r="D82">
      <v>33433445</v>
    </oc>
    <nc r="D82">
      <f>33433445+5411800</f>
    </nc>
  </rcc>
  <rcc rId="4636" sId="1" numFmtId="34">
    <oc r="E126">
      <v>2114504</v>
    </oc>
    <nc r="E126">
      <f>2114504-1057252</f>
    </nc>
  </rcc>
  <rcc rId="4637" sId="1" numFmtId="34">
    <oc r="F126">
      <v>2114504</v>
    </oc>
    <nc r="F126">
      <f>2114504-1057252</f>
    </nc>
  </rcc>
  <rcv guid="{D9B90A86-BE39-4FED-8226-084809D277F3}" action="delete"/>
  <rdn rId="0" localSheetId="1" customView="1" name="Z_D9B90A86_BE39_4FED_8226_084809D277F3_.wvu.PrintArea" hidden="1" oldHidden="1">
    <formula>'программы '!$A$1:$F$938</formula>
    <oldFormula>'программы '!$A$1:$F$938</oldFormula>
  </rdn>
  <rdn rId="0" localSheetId="1" customView="1" name="Z_D9B90A86_BE39_4FED_8226_084809D277F3_.wvu.FilterData" hidden="1" oldHidden="1">
    <formula>'программы '!$C$1:$C$946</formula>
    <oldFormula>'программы '!$C$1:$C$946</oldFormula>
  </rdn>
  <rcv guid="{D9B90A86-BE39-4FED-8226-084809D277F3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4422" sId="1" numFmtId="34">
    <oc r="D38">
      <v>5283970.16</v>
    </oc>
    <nc r="D38">
      <v>2659965.94</v>
    </nc>
  </rcc>
  <rcc rId="4423" sId="1" numFmtId="34">
    <oc r="D35">
      <v>52308571</v>
    </oc>
    <nc r="D35">
      <v>54932575.219999999</v>
    </nc>
  </rcc>
  <rcc rId="4424" sId="1" numFmtId="34">
    <oc r="D52">
      <v>208020283</v>
    </oc>
    <nc r="D52">
      <v>185204583</v>
    </nc>
  </rcc>
  <rcc rId="4425" sId="1" numFmtId="34">
    <nc r="F44">
      <v>2271052</v>
    </nc>
  </rcc>
  <rcc rId="4426" sId="1" numFmtId="34">
    <oc r="D90">
      <v>464630619</v>
    </oc>
    <nc r="D90">
      <v>476501319</v>
    </nc>
  </rcc>
  <rfmt sheetId="1" sqref="A91">
    <dxf>
      <numFmt numFmtId="0" formatCode="General"/>
    </dxf>
  </rfmt>
  <rfmt sheetId="1" sqref="A99">
    <dxf>
      <numFmt numFmtId="0" formatCode="General"/>
    </dxf>
  </rfmt>
  <rcc rId="4427" sId="1" numFmtId="34">
    <nc r="E102">
      <v>520282.97</v>
    </nc>
  </rcc>
  <rcc rId="4428" sId="1" numFmtId="34">
    <nc r="F102">
      <v>1551263</v>
    </nc>
  </rcc>
  <rcc rId="4429" sId="1" numFmtId="34">
    <oc r="D126">
      <v>2114504</v>
    </oc>
    <nc r="D126">
      <v>1057252</v>
    </nc>
  </rcc>
  <rcc rId="4430" sId="1" numFmtId="34">
    <oc r="E130">
      <v>2271052</v>
    </oc>
    <nc r="E130">
      <v>1471052</v>
    </nc>
  </rcc>
  <rcc rId="4431" sId="1" numFmtId="34">
    <oc r="F130">
      <v>2271052</v>
    </oc>
    <nc r="F130">
      <v>0</v>
    </nc>
  </rcc>
  <rcc rId="4432" sId="1" numFmtId="34">
    <nc r="E174">
      <v>800000</v>
    </nc>
  </rcc>
  <rcc rId="4433" sId="1" numFmtId="34">
    <oc r="D215">
      <v>11293823.52</v>
    </oc>
    <nc r="D215">
      <v>10668149.41</v>
    </nc>
  </rcc>
  <rcc rId="4434" sId="1" numFmtId="34">
    <oc r="D217">
      <v>3410734.7</v>
    </oc>
    <nc r="D217">
      <v>3221781.1100000003</v>
    </nc>
  </rcc>
  <rcc rId="4435" sId="1" numFmtId="34">
    <oc r="D220">
      <v>700000</v>
    </oc>
    <nc r="D220">
      <v>950000</v>
    </nc>
  </rcc>
  <rcc rId="4436" sId="1" numFmtId="34">
    <oc r="D238">
      <v>3724076.3</v>
    </oc>
    <nc r="D238">
      <v>3624076.3</v>
    </nc>
  </rcc>
  <rcc rId="4437" sId="1" numFmtId="34">
    <oc r="D143">
      <v>85139959.859999999</v>
    </oc>
    <nc r="D143">
      <v>26819445.579999998</v>
    </nc>
  </rcc>
  <rcc rId="4438" sId="1" numFmtId="34">
    <oc r="D139">
      <v>84058344.060000002</v>
    </oc>
    <nc r="D139">
      <v>84058.34</v>
    </nc>
  </rcc>
  <rcc rId="4439" sId="1" numFmtId="34">
    <nc r="D251">
      <v>10000000</v>
    </nc>
  </rcc>
  <rcc rId="4440" sId="1" numFmtId="34">
    <oc r="D248">
      <v>20710000</v>
    </oc>
    <nc r="D248">
      <v>10710000</v>
    </nc>
  </rcc>
  <rcc rId="4441" sId="1" numFmtId="34">
    <nc r="D255">
      <v>1751800</v>
    </nc>
  </rcc>
  <rcc rId="4442" sId="1" numFmtId="34">
    <nc r="E255">
      <v>1751800</v>
    </nc>
  </rcc>
  <rcc rId="4443" sId="1" numFmtId="34">
    <nc r="F255">
      <v>1751800</v>
    </nc>
  </rcc>
  <rcc rId="4444" sId="1" numFmtId="34">
    <oc r="D259">
      <f>7345628.25</f>
    </oc>
    <nc r="D259">
      <v>6128158.25</v>
    </nc>
  </rcc>
  <rcc rId="4445" sId="1" numFmtId="34">
    <oc r="D263">
      <v>1210000</v>
    </oc>
    <nc r="D263">
      <v>1556305.4</v>
    </nc>
  </rcc>
  <rcc rId="4446" sId="1" numFmtId="34">
    <oc r="D272">
      <v>6977090</v>
    </oc>
    <nc r="D272">
      <v>7881164.9000000004</v>
    </nc>
  </rcc>
  <rcc rId="4447" sId="1" numFmtId="34">
    <oc r="E139">
      <v>0</v>
    </oc>
    <nc r="E139">
      <v>172103.03</v>
    </nc>
  </rcc>
  <rrc rId="4448" sId="1" ref="A292:XFD293" action="insertRow">
    <undo index="0" exp="area" ref3D="1" dr="$A$297:$XFD$305" dn="Z_30E81E54_DD45_4653_9DCD_548F6723F554_.wvu.Rows" sId="1"/>
  </rrc>
  <rcc rId="4449" sId="1" odxf="1" s="1" dxf="1">
    <nc r="A292" t="inlineStr">
      <is>
        <t xml:space="preserve">Иные бюджетные ассигнования 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odxf>
    <ndxf>
      <fill>
        <patternFill>
          <bgColor rgb="FF008000"/>
        </patternFill>
      </fill>
      <alignment horizontal="justify" readingOrder="0"/>
    </ndxf>
  </rcc>
  <rcc rId="4450" sId="1" odxf="1" dxf="1">
    <nc r="A293" t="inlineStr">
      <is>
        <t>Уплата налогов, сборов и иных платежей</t>
      </is>
    </nc>
    <odxf>
      <fill>
        <patternFill>
          <bgColor theme="0"/>
        </patternFill>
      </fill>
      <alignment horizontal="general" wrapText="1" readingOrder="0"/>
      <border outline="0">
        <top/>
      </border>
    </odxf>
    <ndxf>
      <fill>
        <patternFill>
          <bgColor rgb="FF008000"/>
        </patternFill>
      </fill>
      <alignment horizontal="justify" wrapText="0" readingOrder="0"/>
      <border outline="0">
        <top style="thin">
          <color indexed="64"/>
        </top>
      </border>
    </ndxf>
  </rcc>
  <rcc rId="4451" sId="1">
    <nc r="B292" t="inlineStr">
      <is>
        <t>05 2 00 80520</t>
      </is>
    </nc>
  </rcc>
  <rcc rId="4452" sId="1" quotePrefix="1">
    <nc r="C292" t="inlineStr">
      <is>
        <t>800</t>
      </is>
    </nc>
  </rcc>
  <rcc rId="4453" sId="1">
    <nc r="B293" t="inlineStr">
      <is>
        <t>05 2 00 80520</t>
      </is>
    </nc>
  </rcc>
  <rcc rId="4454" sId="1" quotePrefix="1">
    <nc r="C293" t="inlineStr">
      <is>
        <t>850</t>
      </is>
    </nc>
  </rcc>
  <rcc rId="4455" sId="1" numFmtId="34">
    <nc r="D293">
      <v>75000</v>
    </nc>
  </rcc>
  <rcc rId="4456" sId="1" numFmtId="34">
    <nc r="D292">
      <f>D293</f>
    </nc>
  </rcc>
  <rcc rId="4457" sId="1">
    <nc r="E292">
      <f>E293</f>
    </nc>
  </rcc>
  <rcc rId="4458" sId="1">
    <nc r="F292">
      <f>F293</f>
    </nc>
  </rcc>
  <rcc rId="4459" sId="1" numFmtId="34">
    <nc r="E293">
      <v>0</v>
    </nc>
  </rcc>
  <rcc rId="4460" sId="1" numFmtId="34">
    <nc r="F293">
      <v>0</v>
    </nc>
  </rcc>
  <rcc rId="4461" sId="1">
    <oc r="D288">
      <f>D290</f>
    </oc>
    <nc r="D288">
      <f>D289+D292</f>
    </nc>
  </rcc>
  <rcc rId="4462" sId="1">
    <oc r="E288">
      <f>E290</f>
    </oc>
    <nc r="E288">
      <f>E289+E292</f>
    </nc>
  </rcc>
  <rcc rId="4463" sId="1">
    <oc r="F288">
      <f>F290</f>
    </oc>
    <nc r="F288">
      <f>F289+F292</f>
    </nc>
  </rcc>
  <rcc rId="4464" sId="1" numFmtId="34">
    <nc r="D303">
      <v>700000</v>
    </nc>
  </rcc>
  <rcc rId="4465" sId="1">
    <oc r="D283">
      <f>D291+D284</f>
    </oc>
    <nc r="D283">
      <f>D284+D288</f>
    </nc>
  </rcc>
  <rcc rId="4466" sId="1">
    <oc r="E283">
      <f>E291+E284</f>
    </oc>
    <nc r="E283">
      <f>E284+E288</f>
    </nc>
  </rcc>
  <rcc rId="4467" sId="1">
    <oc r="F283">
      <f>F291+F284</f>
    </oc>
    <nc r="F283">
      <f>F284+F288</f>
    </nc>
  </rcc>
  <rcc rId="4468" sId="1">
    <oc r="D316">
      <f>626262+540263.29</f>
    </oc>
    <nc r="D316">
      <f>626262+540263.29-648</f>
    </nc>
  </rcc>
  <rcc rId="4469" sId="1" numFmtId="34">
    <nc r="D322">
      <v>648</v>
    </nc>
  </rcc>
  <rcc rId="4470" sId="1" numFmtId="34">
    <nc r="D342">
      <v>1499999</v>
    </nc>
  </rcc>
  <rcc rId="4471" sId="1" numFmtId="34">
    <nc r="D346">
      <v>78750.289999999994</v>
    </nc>
  </rcc>
  <rcc rId="4472" sId="1" numFmtId="34">
    <nc r="D347">
      <v>23782.59</v>
    </nc>
  </rcc>
  <rcc rId="4473" sId="1" numFmtId="34">
    <oc r="D357">
      <v>171912.17</v>
    </oc>
    <nc r="D357">
      <v>44632.900000000009</v>
    </nc>
  </rcc>
  <rcc rId="4474" sId="1">
    <oc r="D344">
      <f>D345+D346</f>
    </oc>
    <nc r="D344">
      <f>D345</f>
    </nc>
  </rcc>
  <rcc rId="4475" sId="1" numFmtId="34">
    <nc r="D353">
      <v>674946.39</v>
    </nc>
  </rcc>
  <rcc rId="4476" sId="1" numFmtId="34">
    <oc r="D374">
      <v>5816247.3700000001</v>
    </oc>
    <nc r="D374">
      <v>18218340.75</v>
    </nc>
  </rcc>
  <rcc rId="4477" sId="1" numFmtId="34">
    <oc r="D382">
      <v>0</v>
    </oc>
    <nc r="D382">
      <v>1252060.8600000001</v>
    </nc>
  </rcc>
  <rcc rId="4478" sId="1" numFmtId="34">
    <oc r="D383">
      <v>1022422.6</v>
    </oc>
    <nc r="D383">
      <v>1942940.95</v>
    </nc>
  </rcc>
  <rcc rId="4479" sId="1" numFmtId="34">
    <oc r="D420">
      <v>275755.99</v>
    </oc>
    <nc r="D420">
      <v>300755.99</v>
    </nc>
  </rcc>
  <rcc rId="4480" sId="1" numFmtId="34">
    <oc r="D438">
      <v>320925.05</v>
    </oc>
    <nc r="D438">
      <v>345925.05</v>
    </nc>
  </rcc>
  <rcc rId="4481" sId="1" numFmtId="34">
    <oc r="D446">
      <v>1158278</v>
    </oc>
    <nc r="D446">
      <v>1402864.5</v>
    </nc>
  </rcc>
  <rcc rId="4482" sId="1" numFmtId="34">
    <oc r="E450">
      <v>0</v>
    </oc>
    <nc r="E450">
      <v>772411</v>
    </nc>
  </rcc>
  <rcc rId="4483" sId="1" numFmtId="34">
    <oc r="D480">
      <v>153035</v>
    </oc>
    <nc r="D480">
      <v>97534.510000000009</v>
    </nc>
  </rcc>
  <rcc rId="4484" sId="1" numFmtId="34">
    <oc r="D513">
      <v>177125</v>
    </oc>
    <nc r="D513">
      <v>222125</v>
    </nc>
  </rcc>
  <rcc rId="4485" sId="1" numFmtId="34">
    <oc r="D540">
      <v>0</v>
    </oc>
    <nc r="D540">
      <v>750000</v>
    </nc>
  </rcc>
  <rcc rId="4486" sId="1" numFmtId="34">
    <oc r="D553">
      <v>70000</v>
    </oc>
    <nc r="D553">
      <v>275000</v>
    </nc>
  </rcc>
  <rcc rId="4487" sId="1" numFmtId="34">
    <oc r="D556">
      <v>500000</v>
    </oc>
    <nc r="D556">
      <v>369155.92</v>
    </nc>
  </rcc>
  <rcc rId="4488" sId="1" numFmtId="34">
    <oc r="D561">
      <f>3516000-253536</f>
    </oc>
    <nc r="D561">
      <v>2051966</v>
    </nc>
  </rcc>
  <rcc rId="4489" sId="1" numFmtId="34">
    <oc r="E561">
      <v>1300000</v>
    </oc>
    <nc r="E561">
      <v>355485.97</v>
    </nc>
  </rcc>
  <rcc rId="4490" sId="1" numFmtId="34">
    <oc r="E560">
      <v>1300000</v>
    </oc>
    <nc r="E560">
      <f>E561</f>
    </nc>
  </rcc>
  <rcc rId="4491" sId="1" odxf="1" dxf="1" numFmtId="34">
    <oc r="D569">
      <v>0</v>
    </oc>
    <nc r="D569">
      <v>7287280</v>
    </nc>
    <odxf>
      <border outline="0">
        <left/>
      </border>
    </odxf>
    <ndxf>
      <border outline="0">
        <left style="thin">
          <color indexed="64"/>
        </left>
      </border>
    </ndxf>
  </rcc>
  <rcc rId="4492" sId="1" numFmtId="34">
    <oc r="D571">
      <v>7287280</v>
    </oc>
    <nc r="D571">
      <v>0</v>
    </nc>
  </rcc>
  <rcc rId="4493" sId="1" numFmtId="34">
    <oc r="D591">
      <v>9000000</v>
    </oc>
    <nc r="D591">
      <v>7600000</v>
    </nc>
  </rcc>
  <rcc rId="4494" sId="1" numFmtId="34">
    <oc r="D618">
      <v>19791114.27</v>
    </oc>
    <nc r="D618">
      <v>16244589.949999999</v>
    </nc>
  </rcc>
  <rcc rId="4495" sId="1" numFmtId="34">
    <oc r="D640">
      <v>1937163.6</v>
    </oc>
    <nc r="D640">
      <v>994070.79</v>
    </nc>
  </rcc>
  <rcc rId="4496" sId="1" numFmtId="34">
    <oc r="D641">
      <v>585023.41</v>
    </oc>
    <nc r="D641">
      <v>300209.38000000006</v>
    </nc>
  </rcc>
  <rcc rId="4497" sId="1" numFmtId="34">
    <oc r="D646">
      <v>3523917.93</v>
    </oc>
    <nc r="D646">
      <v>3699216.81</v>
    </nc>
  </rcc>
  <rcc rId="4498" sId="1" numFmtId="34">
    <oc r="D649">
      <v>1064223.21</v>
    </oc>
    <nc r="D649">
      <v>1117163.47</v>
    </nc>
  </rcc>
  <rcc rId="4499" sId="1" numFmtId="34">
    <oc r="D706">
      <f>65587443.85+19854019.55+9610478.32</f>
    </oc>
    <nc r="D706">
      <v>95677615.829999998</v>
    </nc>
  </rcc>
  <rcc rId="4500" sId="1" numFmtId="34">
    <oc r="D708">
      <f>19807408.16+5995913.89+2902364.36</f>
    </oc>
    <nc r="D708">
      <v>28894640.000000004</v>
    </nc>
  </rcc>
  <rcc rId="4501" sId="1" numFmtId="34">
    <oc r="D715">
      <f>107973.65+4500</f>
    </oc>
    <nc r="D715">
      <v>41482.039999999994</v>
    </nc>
  </rcc>
  <rcc rId="4502" sId="1" numFmtId="34">
    <oc r="D711">
      <f>5905135.47+1916100+411000+150000</f>
    </oc>
    <nc r="D711">
      <v>8457235.4700000007</v>
    </nc>
  </rcc>
  <rcc rId="4503" sId="1">
    <oc r="D707">
      <f>1196994.24+376200+144590.04</f>
    </oc>
    <nc r="D707">
      <f>1196994.24+376200+144590.04-4000</f>
    </nc>
  </rcc>
  <rcc rId="4504" sId="1" numFmtId="34">
    <oc r="D724">
      <v>469756.4</v>
    </oc>
    <nc r="D724">
      <v>532706.79</v>
    </nc>
  </rcc>
  <rcc rId="4505" sId="1" numFmtId="34">
    <oc r="D729">
      <v>280000</v>
    </oc>
    <nc r="D729">
      <v>460000</v>
    </nc>
  </rcc>
  <rcc rId="4506" sId="1" numFmtId="34">
    <oc r="D721">
      <v>165237.28</v>
    </oc>
    <nc r="D721">
      <v>6126197.3700000001</v>
    </nc>
  </rcc>
  <rcc rId="4507" sId="1" numFmtId="34">
    <oc r="D727">
      <f>338824</f>
    </oc>
    <nc r="D727">
      <v>472574</v>
    </nc>
  </rcc>
  <rcc rId="4508" sId="1" numFmtId="34">
    <oc r="D744">
      <v>700000</v>
    </oc>
    <nc r="D744">
      <v>440000</v>
    </nc>
  </rcc>
  <rcc rId="4509" sId="1" numFmtId="34">
    <oc r="D748">
      <v>421300</v>
    </oc>
    <nc r="D748">
      <v>681300</v>
    </nc>
  </rcc>
  <rcc rId="4510" sId="1" numFmtId="34">
    <oc r="D749">
      <v>1748744</v>
    </oc>
    <nc r="D749">
      <v>2414785</v>
    </nc>
  </rcc>
  <rcc rId="4511" sId="1" numFmtId="34">
    <oc r="D782">
      <f>1341897+730000</f>
    </oc>
    <nc r="D782">
      <v>2874890.87</v>
    </nc>
  </rcc>
  <rrc rId="4512" sId="1" ref="A784:XFD784" action="insertRow"/>
  <rrc rId="4513" sId="1" ref="A784:XFD784" action="insertRow"/>
  <rrc rId="4514" sId="1" ref="A784:XFD784" action="insertRow"/>
  <rcc rId="4515" sId="1" odxf="1" dxf="1">
    <nc r="A784" t="inlineStr">
      <is>
        <t>Капитальные вложения в объекты государственной (муниципальной) собственности</t>
      </is>
    </nc>
    <odxf>
      <fill>
        <patternFill>
          <bgColor theme="0"/>
        </patternFill>
      </fill>
    </odxf>
    <ndxf>
      <fill>
        <patternFill>
          <bgColor theme="5" tint="0.39997558519241921"/>
        </patternFill>
      </fill>
    </ndxf>
  </rcc>
  <rcc rId="4516" sId="1" odxf="1" dxf="1">
    <nc r="A785" t="inlineStr">
      <is>
        <t>Бюджетные инвестиции</t>
      </is>
    </nc>
    <odxf>
      <fill>
        <patternFill>
          <bgColor theme="0"/>
        </patternFill>
      </fill>
    </odxf>
    <ndxf>
      <fill>
        <patternFill>
          <bgColor theme="5" tint="0.39997558519241921"/>
        </patternFill>
      </fill>
    </ndxf>
  </rcc>
  <rcc rId="4517" sId="1" odxf="1" dxf="1">
    <nc r="A786" t="inlineStr">
      <is>
        <t>Бюджетные инвестиции на приобретение объектов недвижимого имущества в государственную (муниципальную) собственность</t>
      </is>
    </nc>
    <odxf>
      <fill>
        <patternFill>
          <bgColor theme="0"/>
        </patternFill>
      </fill>
    </odxf>
    <ndxf>
      <fill>
        <patternFill>
          <bgColor theme="5" tint="0.39997558519241921"/>
        </patternFill>
      </fill>
    </ndxf>
  </rcc>
  <rcc rId="4518" sId="1" quotePrefix="1">
    <nc r="C784" t="inlineStr">
      <is>
        <t>400</t>
      </is>
    </nc>
  </rcc>
  <rcc rId="4519" sId="1" quotePrefix="1">
    <nc r="C785" t="inlineStr">
      <is>
        <t>410</t>
      </is>
    </nc>
  </rcc>
  <rcc rId="4520" sId="1" quotePrefix="1">
    <nc r="C786" t="inlineStr">
      <is>
        <t>412</t>
      </is>
    </nc>
  </rcc>
  <rcc rId="4521" sId="1" numFmtId="34">
    <nc r="D786">
      <v>235229.64</v>
    </nc>
  </rcc>
  <rcc rId="4522" sId="1" numFmtId="34">
    <nc r="D784">
      <f>D785</f>
    </nc>
  </rcc>
  <rcc rId="4523" sId="1" numFmtId="34">
    <nc r="D785">
      <f>D786</f>
    </nc>
  </rcc>
  <rcc rId="4524" sId="1">
    <nc r="E784">
      <f>E785</f>
    </nc>
  </rcc>
  <rcc rId="4525" sId="1">
    <nc r="F784">
      <f>F785</f>
    </nc>
  </rcc>
  <rcc rId="4526" sId="1">
    <nc r="E785">
      <f>E786</f>
    </nc>
  </rcc>
  <rcc rId="4527" sId="1">
    <nc r="F785">
      <f>F786</f>
    </nc>
  </rcc>
  <rcc rId="4528" sId="1" numFmtId="34">
    <nc r="E786">
      <v>0</v>
    </nc>
  </rcc>
  <rcc rId="4529" sId="1" numFmtId="34">
    <nc r="F786">
      <v>0</v>
    </nc>
  </rcc>
  <rcc rId="4530" sId="1">
    <oc r="D779">
      <f>D780+D787</f>
    </oc>
    <nc r="D779">
      <f>D780+D787+D784</f>
    </nc>
  </rcc>
  <rcc rId="4531" sId="1">
    <oc r="E779">
      <f>E780+E787</f>
    </oc>
    <nc r="E779">
      <f>E780+E787+E784</f>
    </nc>
  </rcc>
  <rcc rId="4532" sId="1">
    <oc r="F779">
      <f>F780+F787</f>
    </oc>
    <nc r="F779">
      <f>F780+F787+F784</f>
    </nc>
  </rcc>
  <rcc rId="4533" sId="1" numFmtId="34">
    <oc r="D788">
      <v>20000</v>
    </oc>
    <nc r="D788">
      <v>72000</v>
    </nc>
  </rcc>
  <rcc rId="4534" sId="1" numFmtId="34">
    <oc r="D797">
      <v>655000</v>
    </oc>
    <nc r="D797">
      <v>0</v>
    </nc>
  </rcc>
  <rcc rId="4535" sId="1">
    <nc r="D801">
      <f>45000+655000</f>
    </nc>
  </rcc>
  <rcc rId="4536" sId="1" numFmtId="34">
    <oc r="D808">
      <v>566700</v>
    </oc>
    <nc r="D808">
      <v>0</v>
    </nc>
  </rcc>
  <rcc rId="4537" sId="1" numFmtId="34">
    <oc r="E808">
      <v>2340000</v>
    </oc>
    <nc r="E808">
      <v>0</v>
    </nc>
  </rcc>
  <rcc rId="4538" sId="1" numFmtId="34">
    <oc r="F808">
      <v>2340000</v>
    </oc>
    <nc r="F808">
      <v>0</v>
    </nc>
  </rcc>
  <rrc rId="4539" sId="1" ref="A806:XFD808" action="insertRow"/>
  <rfmt sheetId="1" sqref="A806" start="0" length="0">
    <dxf>
      <border outline="0">
        <top style="thin">
          <color indexed="64"/>
        </top>
      </border>
    </dxf>
  </rfmt>
  <rcc rId="4540" sId="1">
    <nc r="B806" t="inlineStr">
      <is>
        <t>59 0 00 83691</t>
      </is>
    </nc>
  </rcc>
  <rfmt sheetId="1" sqref="C806" start="0" length="0">
    <dxf>
      <border outline="0">
        <top style="thin">
          <color indexed="64"/>
        </top>
      </border>
    </dxf>
  </rfmt>
  <rcc rId="4541" sId="1">
    <nc r="D806">
      <f>D807</f>
    </nc>
  </rcc>
  <rcc rId="4542" sId="1">
    <nc r="E806">
      <f>E807</f>
    </nc>
  </rcc>
  <rcc rId="4543" sId="1">
    <nc r="F806">
      <f>F807</f>
    </nc>
  </rcc>
  <rfmt sheetId="1" sqref="A807" start="0" length="0">
    <dxf>
      <border outline="0">
        <top style="thin">
          <color indexed="64"/>
        </top>
      </border>
    </dxf>
  </rfmt>
  <rcc rId="4544" sId="1">
    <nc r="B807" t="inlineStr">
      <is>
        <t>59 0 00 83691</t>
      </is>
    </nc>
  </rcc>
  <rfmt sheetId="1" sqref="C807" start="0" length="0">
    <dxf>
      <border outline="0">
        <top style="thin">
          <color indexed="64"/>
        </top>
      </border>
    </dxf>
  </rfmt>
  <rcc rId="4545" sId="1">
    <nc r="D807">
      <f>D808</f>
    </nc>
  </rcc>
  <rcc rId="4546" sId="1">
    <nc r="E807">
      <f>E808</f>
    </nc>
  </rcc>
  <rcc rId="4547" sId="1">
    <nc r="F807">
      <f>F808</f>
    </nc>
  </rcc>
  <rcc rId="4548" sId="1">
    <nc r="B808" t="inlineStr">
      <is>
        <t>59 0 00 83691</t>
      </is>
    </nc>
  </rcc>
  <rfmt sheetId="1" sqref="C808" start="0" length="0">
    <dxf/>
  </rfmt>
  <rcc rId="4549" sId="1" numFmtId="34">
    <nc r="E808">
      <v>0</v>
    </nc>
  </rcc>
  <rcc rId="4550" sId="1" numFmtId="34">
    <nc r="F808">
      <v>0</v>
    </nc>
  </rcc>
  <rcc rId="4551" sId="1">
    <nc r="A806" t="inlineStr">
      <is>
        <t>Капитальные вложения в объекты государственной (муниципальной) собственности</t>
      </is>
    </nc>
  </rcc>
  <rcc rId="4552" sId="1">
    <nc r="A807" t="inlineStr">
      <is>
        <t>Бюджетные инвестиции</t>
      </is>
    </nc>
  </rcc>
  <rcc rId="4553" sId="1">
    <nc r="A808" t="inlineStr">
      <is>
        <t>Бюджетные инвестиции в объекты капитального строительства государственной (муниципальной) собственности</t>
      </is>
    </nc>
  </rcc>
  <rcc rId="4554" sId="1">
    <nc r="C806">
      <v>400</v>
    </nc>
  </rcc>
  <rcc rId="4555" sId="1">
    <nc r="C807">
      <v>410</v>
    </nc>
  </rcc>
  <rcc rId="4556" sId="1">
    <nc r="C808">
      <v>414</v>
    </nc>
  </rcc>
  <rcc rId="4557" sId="1" numFmtId="34">
    <nc r="D808">
      <v>66344.570000000007</v>
    </nc>
  </rcc>
  <rcc rId="4558" sId="1">
    <oc r="D802">
      <f>D810+D803+D812+D816+D820</f>
    </oc>
    <nc r="D802">
      <f>D810+D803+D812+D816+D820+D806</f>
    </nc>
  </rcc>
  <rcc rId="4559" sId="1" numFmtId="34">
    <nc r="D823">
      <v>510900</v>
    </nc>
  </rcc>
  <rcc rId="4560" sId="1" numFmtId="34">
    <nc r="E823">
      <v>2340000</v>
    </nc>
  </rcc>
  <rcc rId="4561" sId="1" numFmtId="34">
    <nc r="F823">
      <v>2340000</v>
    </nc>
  </rcc>
  <rcc rId="4562" sId="1" numFmtId="34">
    <oc r="D765">
      <v>8000000</v>
    </oc>
    <nc r="D765">
      <v>8700000</v>
    </nc>
  </rcc>
  <rcc rId="4563" sId="1">
    <nc r="B784" t="inlineStr">
      <is>
        <t>59 0 00 83650</t>
      </is>
    </nc>
  </rcc>
  <rcc rId="4564" sId="1">
    <nc r="B785" t="inlineStr">
      <is>
        <t>59 0 00 83650</t>
      </is>
    </nc>
  </rcc>
  <rcc rId="4565" sId="1">
    <nc r="B786" t="inlineStr">
      <is>
        <t>59 0 00 83650</t>
      </is>
    </nc>
  </rcc>
  <rcc rId="4566" sId="1" numFmtId="34">
    <oc r="D783">
      <v>2005191</v>
    </oc>
    <nc r="D783">
      <v>2120945</v>
    </nc>
  </rcc>
  <rcc rId="4567" sId="1" numFmtId="34">
    <oc r="D770">
      <v>2883700</v>
    </oc>
    <nc r="D770">
      <f>2883700+70000</f>
    </nc>
  </rcc>
  <rcc rId="4568" sId="1" numFmtId="34">
    <nc r="D832">
      <v>1000</v>
    </nc>
  </rcc>
  <rcc rId="4569" sId="1" numFmtId="34">
    <nc r="D833">
      <v>46684.04</v>
    </nc>
  </rcc>
  <rrc rId="4570" sId="1" ref="A837:XFD838" action="insertRow"/>
  <rcc rId="4571" sId="1" odxf="1" dxf="1">
    <nc r="A837" t="inlineStr">
      <is>
        <t>Иные бюджетные ассигнования</t>
      </is>
    </nc>
    <odxf>
      <border outline="0">
        <top style="thin">
          <color indexed="64"/>
        </top>
        <bottom/>
      </border>
    </odxf>
    <ndxf>
      <border outline="0">
        <top/>
        <bottom style="thin">
          <color indexed="64"/>
        </bottom>
      </border>
    </ndxf>
  </rcc>
  <rcc rId="4572" sId="1" odxf="1" dxf="1">
    <nc r="A838" t="inlineStr">
      <is>
        <t>Уплата налогов, сборов и иных платежей</t>
      </is>
    </nc>
    <odxf>
      <fill>
        <patternFill>
          <bgColor theme="0"/>
        </patternFill>
      </fill>
      <border outline="0">
        <bottom/>
      </border>
    </odxf>
    <ndxf>
      <fill>
        <patternFill>
          <bgColor theme="5" tint="0.59999389629810485"/>
        </patternFill>
      </fill>
      <border outline="0">
        <bottom style="thin">
          <color indexed="64"/>
        </bottom>
      </border>
    </ndxf>
  </rcc>
  <rcc rId="4573" sId="1">
    <nc r="B837" t="inlineStr">
      <is>
        <t>60 0 00 80020</t>
      </is>
    </nc>
  </rcc>
  <rcc rId="4574" sId="1">
    <nc r="B838" t="inlineStr">
      <is>
        <t>60 0 00 80020</t>
      </is>
    </nc>
  </rcc>
  <rrc rId="4575" sId="1" ref="A837:XFD837" action="insertRow"/>
  <rrc rId="4576" sId="1" ref="A837:XFD837" action="deleteRow">
    <rfmt sheetId="1" xfDxf="1" sqref="A837:XFD837" start="0" length="0">
      <dxf>
        <font>
          <name val="Times New Roman"/>
          <scheme val="none"/>
        </font>
        <fill>
          <patternFill patternType="solid">
            <bgColor theme="6" tint="0.59999389629810485"/>
          </patternFill>
        </fill>
      </dxf>
    </rfmt>
    <rfmt sheetId="1" sqref="A837" start="0" length="0">
      <dxf>
        <fill>
          <patternFill>
            <bgColor theme="0"/>
          </patternFill>
        </fill>
        <alignment horizontal="justify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837" start="0" length="0">
      <dxf>
        <fill>
          <patternFill>
            <bgColor theme="0"/>
          </patternFill>
        </fill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" sqref="C837" start="0" length="0">
      <dxf>
        <fill>
          <patternFill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="1" sqref="D837" start="0" length="0">
      <dxf>
        <numFmt numFmtId="164" formatCode="_-* #,##0.00_р_._-;\-* #,##0.00_р_._-;_-* &quot;-&quot;??_р_._-;_-@_-"/>
        <fill>
          <patternFill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37" start="0" length="0">
      <dxf>
        <numFmt numFmtId="164" formatCode="_-* #,##0.00_р_._-;\-* #,##0.00_р_._-;_-* &quot;-&quot;??_р_._-;_-@_-"/>
        <fill>
          <patternFill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37" start="0" length="0">
      <dxf>
        <numFmt numFmtId="164" formatCode="_-* #,##0.00_р_._-;\-* #,##0.00_р_._-;_-* &quot;-&quot;??_р_._-;_-@_-"/>
        <fill>
          <patternFill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4577" sId="1" odxf="1" dxf="1">
    <nc r="C837" t="inlineStr">
      <is>
        <t>800</t>
      </is>
    </nc>
    <odxf>
      <numFmt numFmtId="0" formatCode="General"/>
      <border outline="0">
        <top/>
      </border>
    </odxf>
    <ndxf>
      <numFmt numFmtId="30" formatCode="@"/>
      <border outline="0">
        <top style="thin">
          <color indexed="64"/>
        </top>
      </border>
    </ndxf>
  </rcc>
  <rcc rId="4578" sId="1" odxf="1" dxf="1">
    <nc r="C838" t="inlineStr">
      <is>
        <t>850</t>
      </is>
    </nc>
    <odxf>
      <numFmt numFmtId="0" formatCode="General"/>
      <fill>
        <patternFill>
          <bgColor theme="0"/>
        </patternFill>
      </fill>
      <border outline="0">
        <right style="thin">
          <color indexed="64"/>
        </right>
        <top/>
      </border>
    </odxf>
    <ndxf>
      <numFmt numFmtId="30" formatCode="@"/>
      <fill>
        <patternFill>
          <bgColor theme="5" tint="0.59999389629810485"/>
        </patternFill>
      </fill>
      <border outline="0">
        <right/>
        <top style="thin">
          <color indexed="64"/>
        </top>
      </border>
    </ndxf>
  </rcc>
  <rcc rId="4579" sId="1" numFmtId="34">
    <nc r="D838">
      <v>180000</v>
    </nc>
  </rcc>
  <rrc rId="4580" sId="1" ref="A837:XFD837" action="deleteRow">
    <rfmt sheetId="1" xfDxf="1" sqref="A837:XFD837" start="0" length="0">
      <dxf>
        <font>
          <name val="Times New Roman"/>
          <scheme val="none"/>
        </font>
        <fill>
          <patternFill patternType="solid">
            <bgColor theme="6" tint="0.59999389629810485"/>
          </patternFill>
        </fill>
      </dxf>
    </rfmt>
    <rcc rId="0" sId="1" dxf="1">
      <nc r="A837" t="inlineStr">
        <is>
          <t>Иные бюджетные ассигнования</t>
        </is>
      </nc>
      <ndxf>
        <fill>
          <patternFill>
            <bgColor theme="0"/>
          </patternFill>
        </fill>
        <alignment horizontal="justify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837" t="inlineStr">
        <is>
          <t>60 0 00 80020</t>
        </is>
      </nc>
      <ndxf>
        <fill>
          <patternFill>
            <bgColor theme="0"/>
          </patternFill>
        </fill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C837" t="inlineStr">
        <is>
          <t>800</t>
        </is>
      </nc>
      <ndxf>
        <numFmt numFmtId="30" formatCode="@"/>
        <fill>
          <patternFill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D837" start="0" length="0">
      <dxf>
        <numFmt numFmtId="164" formatCode="_-* #,##0.00_р_._-;\-* #,##0.00_р_._-;_-* &quot;-&quot;??_р_._-;_-@_-"/>
        <fill>
          <patternFill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37" start="0" length="0">
      <dxf>
        <numFmt numFmtId="164" formatCode="_-* #,##0.00_р_._-;\-* #,##0.00_р_._-;_-* &quot;-&quot;??_р_._-;_-@_-"/>
        <fill>
          <patternFill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37" start="0" length="0">
      <dxf>
        <numFmt numFmtId="164" formatCode="_-* #,##0.00_р_._-;\-* #,##0.00_р_._-;_-* &quot;-&quot;??_р_._-;_-@_-"/>
        <fill>
          <patternFill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4581" sId="1">
    <oc r="D834">
      <f>D835</f>
    </oc>
    <nc r="D834">
      <f>D835+D837</f>
    </nc>
  </rcc>
  <rcc rId="4582" sId="1">
    <oc r="E834">
      <f>E835</f>
    </oc>
    <nc r="E834">
      <f>E835+E837</f>
    </nc>
  </rcc>
  <rcc rId="4583" sId="1">
    <oc r="F834">
      <f>F835</f>
    </oc>
    <nc r="F834">
      <f>F835+F837</f>
    </nc>
  </rcc>
  <rcc rId="4584" sId="1" numFmtId="34">
    <oc r="D836">
      <f>292246.25</f>
    </oc>
    <nc r="D836">
      <v>358553.82</v>
    </nc>
  </rcc>
  <rcc rId="4585" sId="1" numFmtId="34">
    <oc r="D847">
      <v>3209339.93</v>
    </oc>
    <nc r="D847">
      <v>0</v>
    </nc>
  </rcc>
  <rcc rId="4586" sId="1" numFmtId="34">
    <oc r="D851">
      <v>4427614.2</v>
    </oc>
    <nc r="D851">
      <v>7636954.1300000008</v>
    </nc>
  </rcc>
  <rfmt sheetId="1" sqref="F885" start="0" length="0">
    <dxf>
      <border outline="0">
        <left style="thin">
          <color indexed="64"/>
        </left>
        <top style="thin">
          <color indexed="64"/>
        </top>
      </border>
    </dxf>
  </rfmt>
  <rcc rId="4587" sId="1" numFmtId="34">
    <oc r="D901">
      <v>100000</v>
    </oc>
    <nc r="D901">
      <v>0</v>
    </nc>
  </rcc>
  <rcc rId="4588" sId="1" numFmtId="34">
    <oc r="D898">
      <v>481912</v>
    </oc>
    <nc r="D898">
      <v>581912</v>
    </nc>
  </rcc>
  <rcc rId="4589" sId="1" numFmtId="34">
    <oc r="D928">
      <v>663833.82999999996</v>
    </oc>
    <nc r="D928">
      <v>1398.2799999999115</v>
    </nc>
  </rcc>
  <rcc rId="4590" sId="1" numFmtId="34">
    <oc r="D919">
      <v>12612842.84</v>
    </oc>
    <nc r="D919">
      <v>26567.389999998733</v>
    </nc>
  </rcc>
  <rcc rId="4591" sId="1" numFmtId="34">
    <nc r="D914">
      <v>11409500</v>
    </nc>
  </rcc>
  <rcc rId="4592" sId="1" numFmtId="34">
    <nc r="D923">
      <v>600500</v>
    </nc>
  </rcc>
  <rfmt sheetId="1" sqref="D917" start="0" length="0">
    <dxf>
      <numFmt numFmtId="167" formatCode="_(* #,##0.00_);_(* \(#,##0.00\);_(* &quot;-&quot;??_);_(@_)"/>
      <alignment horizontal="center" readingOrder="0"/>
      <border outline="0">
        <left/>
      </border>
    </dxf>
  </rfmt>
  <rcc rId="4593" sId="1" numFmtId="34">
    <nc r="D917">
      <v>1176775.45</v>
    </nc>
  </rcc>
  <rcc rId="4594" sId="1" numFmtId="34">
    <nc r="D926">
      <v>61935.55</v>
    </nc>
  </rcc>
  <rcc rId="4595" sId="1" numFmtId="34">
    <nc r="D933">
      <v>495550</v>
    </nc>
  </rcc>
  <rcc rId="4596" sId="1">
    <oc r="D629">
      <f>D630+D635+D653+D670+D716+D730+D740+D752+D757+D838+D876+D889+D902+D910+D828</f>
    </oc>
    <nc r="D629">
      <f>D630+D635+D653+D670+D716+D730+D740+D752+D757+D838+D876+D889+D902+D910+D828+D929</f>
    </nc>
  </rcc>
  <rcc rId="4597" sId="1">
    <oc r="E629">
      <f>E630+E635+E653+E670+E716+E730+E740+E752+E757+E838+E876+E889+E902+E910+E828</f>
    </oc>
    <nc r="E629">
      <f>E630+E635+E653+E670+E716+E730+E740+E752+E757+E838+E876+E889+E902+E910+E828+E929</f>
    </nc>
  </rcc>
  <rcc rId="4598" sId="1">
    <oc r="F629">
      <f>F630+F635+F653+F670+F716+F730+F740+F752+F757+F838+F876+F889+F902+F910+F828</f>
    </oc>
    <nc r="F629">
      <f>F630+F635+F653+F670+F716+F730+F740+F752+F757+F838+F876+F889+F902+F910+F828+F929</f>
    </nc>
  </rcc>
  <rcv guid="{9A752CC5-36AC-48BE-BF4B-1A38C4015906}" action="delete"/>
  <rdn rId="0" localSheetId="1" customView="1" name="Z_9A752CC5_36AC_48BE_BF4B_1A38C4015906_.wvu.Rows" hidden="1" oldHidden="1">
    <formula>'программы '!$75:$78,'программы '!$162:$165,'программы '!$327:$330,'программы '!$348:$350,'программы '!$528:$531,'программы '!$542:$545,'программы '!$579:$580,'программы '!$794:$797,'программы '!$840:$843</formula>
  </rdn>
  <rdn rId="0" localSheetId="1" customView="1" name="Z_9A752CC5_36AC_48BE_BF4B_1A38C4015906_.wvu.FilterData" hidden="1" oldHidden="1">
    <formula>'программы '!$C$1:$C$945</formula>
    <oldFormula>'программы '!$A$1:$A$950</oldFormula>
  </rdn>
  <rcv guid="{9A752CC5-36AC-48BE-BF4B-1A38C4015906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c rId="4608" sId="1" numFmtId="34">
    <nc r="D378">
      <v>3591627.58</v>
    </nc>
  </rcc>
  <rcc rId="4609" sId="1" numFmtId="34">
    <oc r="D370">
      <v>3591627.58</v>
    </oc>
    <nc r="D370">
      <v>0</v>
    </nc>
  </rcc>
  <rcv guid="{9A752CC5-36AC-48BE-BF4B-1A38C4015906}" action="delete"/>
  <rdn rId="0" localSheetId="1" customView="1" name="Z_9A752CC5_36AC_48BE_BF4B_1A38C4015906_.wvu.PrintArea" hidden="1" oldHidden="1">
    <formula>'программы '!$A$1:$F$937</formula>
    <oldFormula>'программы '!$A$1:$F$937</oldFormula>
  </rdn>
  <rdn rId="0" localSheetId="1" customView="1" name="Z_9A752CC5_36AC_48BE_BF4B_1A38C4015906_.wvu.Rows" hidden="1" oldHidden="1">
    <formula>'программы '!$75:$78,'программы '!$162:$165,'программы '!$327:$330,'программы '!$348:$350,'программы '!$528:$531,'программы '!$542:$545,'программы '!$579:$580,'программы '!$794:$797,'программы '!$840:$843</formula>
    <oldFormula>'программы '!$75:$78,'программы '!$162:$165,'программы '!$327:$330,'программы '!$348:$350,'программы '!$528:$531,'программы '!$542:$545,'программы '!$579:$580,'программы '!$794:$797,'программы '!$840:$843</oldFormula>
  </rdn>
  <rdn rId="0" localSheetId="1" customView="1" name="Z_9A752CC5_36AC_48BE_BF4B_1A38C4015906_.wvu.FilterData" hidden="1" oldHidden="1">
    <formula>'программы '!$C$1:$C$945</formula>
    <oldFormula>'программы '!$C$1:$C$945</oldFormula>
  </rdn>
  <rcv guid="{9A752CC5-36AC-48BE-BF4B-1A38C4015906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2812" sId="1" numFmtId="34">
    <oc r="D88">
      <v>3387420</v>
    </oc>
    <nc r="D88">
      <f>3387420+538300</f>
    </nc>
  </rcc>
  <rcc rId="2813" sId="1">
    <oc r="D506">
      <f>14735000+7094414.27</f>
    </oc>
    <nc r="D506">
      <f>14735000+7094414.27-538300</f>
    </nc>
  </rcc>
  <rfmt sheetId="1" sqref="D506">
    <dxf>
      <fill>
        <patternFill patternType="solid">
          <bgColor rgb="FFFFFF00"/>
        </patternFill>
      </fill>
    </dxf>
  </rfmt>
  <rfmt sheetId="1" sqref="D88">
    <dxf>
      <fill>
        <patternFill patternType="solid">
          <bgColor rgb="FFFFFF00"/>
        </patternFill>
      </fill>
    </dxf>
  </rfmt>
  <rcv guid="{9A752CC5-36AC-48BE-BF4B-1A38C4015906}" action="delete"/>
  <rdn rId="0" localSheetId="1" customView="1" name="Z_9A752CC5_36AC_48BE_BF4B_1A38C4015906_.wvu.FilterData" hidden="1" oldHidden="1">
    <formula>'программы '!$A$1:$A$770</formula>
    <oldFormula>'программы '!$A$1:$A$770</oldFormula>
  </rdn>
  <rcv guid="{9A752CC5-36AC-48BE-BF4B-1A38C4015906}" action="add"/>
</revisions>
</file>

<file path=xl/revisions/revisionLog1111.xml><?xml version="1.0" encoding="utf-8"?>
<revisions xmlns="http://schemas.openxmlformats.org/spreadsheetml/2006/main" xmlns:r="http://schemas.openxmlformats.org/officeDocument/2006/relationships">
  <rrc rId="2570" sId="1" ref="A726:XFD728" action="insertRow"/>
  <rrc rId="2571" sId="1" ref="A726:XFD726" action="insertRow"/>
  <rcc rId="2572" sId="1" odxf="1" dxf="1">
    <nc r="A726" t="inlineStr">
      <is>
        <t>Реализация инициативных проектов в рамках регионального проекта "Комфортное Поморье"</t>
      </is>
    </nc>
    <odxf>
      <font>
        <i val="0"/>
        <name val="Times New Roman"/>
        <scheme val="none"/>
      </font>
      <fill>
        <patternFill patternType="none">
          <bgColor indexed="65"/>
        </patternFill>
      </fill>
      <border outline="0">
        <left/>
        <right/>
        <bottom/>
      </border>
    </odxf>
    <ndxf>
      <font>
        <i/>
        <name val="Times New Roman"/>
        <scheme val="none"/>
      </font>
      <fill>
        <patternFill patternType="solid">
          <bgColor indexed="51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2573" sId="1" odxf="1" s="1" dxf="1">
    <nc r="A727" t="inlineStr">
      <is>
        <t>Развитие инициативных проектов в рамках регионального проекта "Комфортное Поморье"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justify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</odxf>
    <ndxf>
      <font>
        <i/>
        <sz val="10"/>
        <color auto="1"/>
        <name val="Times New Roman"/>
        <scheme val="none"/>
      </font>
      <fill>
        <patternFill patternType="solid">
          <bgColor indexed="51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2574" sId="1" odxf="1" dxf="1">
    <nc r="A728" t="inlineStr">
      <is>
        <t>Иные бюджетные ассигнования</t>
      </is>
    </nc>
    <odxf>
      <fill>
        <patternFill patternType="none">
          <bgColor indexed="65"/>
        </patternFill>
      </fill>
      <border outline="0">
        <left/>
        <right/>
        <bottom/>
      </border>
    </odxf>
    <ndxf>
      <fill>
        <patternFill patternType="solid">
          <bgColor indexed="51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2575" sId="1" odxf="1" dxf="1">
    <nc r="A729" t="inlineStr">
      <is>
        <t>Резервные средства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indexed="51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576" sId="1">
    <nc r="B726" t="inlineStr">
      <is>
        <t>67 0 00 00000</t>
      </is>
    </nc>
  </rcc>
  <rcc rId="2577" sId="1">
    <nc r="B727" t="inlineStr">
      <is>
        <t>67 0 00 S8890</t>
      </is>
    </nc>
  </rcc>
  <rcc rId="2578" sId="1">
    <nc r="B728" t="inlineStr">
      <is>
        <t>67 0 00 S8890</t>
      </is>
    </nc>
  </rcc>
  <rcc rId="2579" sId="1" numFmtId="30">
    <nc r="C728">
      <v>800</v>
    </nc>
  </rcc>
  <rcc rId="2580" sId="1">
    <nc r="B729" t="inlineStr">
      <is>
        <t>67 0 00 S8890</t>
      </is>
    </nc>
  </rcc>
  <rcc rId="2581" sId="1">
    <nc r="C729" t="inlineStr">
      <is>
        <t>870</t>
      </is>
    </nc>
  </rcc>
  <rcc rId="2582" sId="1" numFmtId="34">
    <nc r="D729">
      <v>13276676.67</v>
    </nc>
  </rcc>
  <rcc rId="2583" sId="1">
    <nc r="D726">
      <f>D727</f>
    </nc>
  </rcc>
  <rcc rId="2584" sId="1">
    <nc r="D727">
      <f>D728</f>
    </nc>
  </rcc>
  <rcc rId="2585" sId="1">
    <nc r="D728">
      <f>D729</f>
    </nc>
  </rcc>
  <rcc rId="2586" sId="1">
    <nc r="E726">
      <f>E727</f>
    </nc>
  </rcc>
  <rcc rId="2587" sId="1">
    <nc r="F726">
      <f>F727</f>
    </nc>
  </rcc>
  <rcc rId="2588" sId="1">
    <nc r="E727">
      <f>E728</f>
    </nc>
  </rcc>
  <rcc rId="2589" sId="1">
    <nc r="F727">
      <f>F728</f>
    </nc>
  </rcc>
  <rcc rId="2590" sId="1">
    <nc r="E728">
      <f>E729</f>
    </nc>
  </rcc>
  <rcc rId="2591" sId="1">
    <nc r="F728">
      <f>F729</f>
    </nc>
  </rcc>
  <rcc rId="2592" sId="1" numFmtId="34">
    <nc r="E729">
      <v>0</v>
    </nc>
  </rcc>
  <rcc rId="2593" sId="1" numFmtId="34">
    <nc r="F729">
      <v>0</v>
    </nc>
  </rcc>
  <rfmt sheetId="1" sqref="A726:A729">
    <dxf>
      <fill>
        <patternFill patternType="none">
          <bgColor auto="1"/>
        </patternFill>
      </fill>
    </dxf>
  </rfmt>
  <rfmt sheetId="1" sqref="F726:F729" start="0" length="0">
    <dxf>
      <border>
        <right style="thin">
          <color indexed="64"/>
        </right>
      </border>
    </dxf>
  </rfmt>
  <rfmt sheetId="1" sqref="A729:F729" start="0" length="0">
    <dxf>
      <border>
        <bottom style="thin">
          <color indexed="64"/>
        </bottom>
      </border>
    </dxf>
  </rfmt>
  <rcc rId="2594" sId="1">
    <oc r="D504">
      <f>D505+D510+D528+D545+D587+D593+D603+D615+D620+D661+D695+D708+D718</f>
    </oc>
    <nc r="D504">
      <f>D505+D510+D528+D545+D587+D593+D603+D615+D620+D661+D695+D708+D718+D726</f>
    </nc>
  </rcc>
  <rcc rId="2595" sId="1">
    <oc r="E504">
      <f>E505+E510+E528+E545+E587+E593+E603+E615+E620+E661+E695+E708+E718</f>
    </oc>
    <nc r="E504">
      <f>E505+E510+E528+E545+E587+E593+E603+E615+E620+E661+E695+E708+E718+E726</f>
    </nc>
  </rcc>
  <rcc rId="2596" sId="1">
    <oc r="F504">
      <f>F505+F510+F528+F545+F587+F593+F603+F615+F620+F661+F695+F708+F718</f>
    </oc>
    <nc r="F504">
      <f>F505+F510+F528+F545+F587+F593+F603+F615+F620+F661+F695+F708+F718+F726</f>
    </nc>
  </rcc>
  <rcv guid="{9A752CC5-36AC-48BE-BF4B-1A38C4015906}" action="delete"/>
  <rdn rId="0" localSheetId="1" customView="1" name="Z_9A752CC5_36AC_48BE_BF4B_1A38C4015906_.wvu.FilterData" hidden="1" oldHidden="1">
    <formula>'программы '!$B$1:$B$741</formula>
    <oldFormula>'программы '!$B$1:$B$741</oldFormula>
  </rdn>
  <rcv guid="{9A752CC5-36AC-48BE-BF4B-1A38C4015906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c rId="4613" sId="1" numFmtId="34">
    <oc r="D556">
      <v>369155.92</v>
    </oc>
    <nc r="D556">
      <f>369155.92+275000</f>
    </nc>
  </rcc>
  <rcc rId="4614" sId="1" numFmtId="34">
    <oc r="D553">
      <v>275000</v>
    </oc>
    <nc r="D553">
      <v>0</v>
    </nc>
  </rcc>
  <rcc rId="4615" sId="1" numFmtId="34">
    <oc r="D808">
      <v>66344.570000000007</v>
    </oc>
    <nc r="D808">
      <v>0</v>
    </nc>
  </rcc>
  <rcc rId="4616" sId="1">
    <oc r="D774">
      <f>1300000</f>
    </oc>
    <nc r="D774">
      <f>1300000+66344.57</f>
    </nc>
  </rcc>
  <rcv guid="{9A752CC5-36AC-48BE-BF4B-1A38C4015906}" action="delete"/>
  <rdn rId="0" localSheetId="1" customView="1" name="Z_9A752CC5_36AC_48BE_BF4B_1A38C4015906_.wvu.PrintArea" hidden="1" oldHidden="1">
    <formula>'программы '!$A$1:$F$937</formula>
    <oldFormula>'программы '!$A$1:$F$937</oldFormula>
  </rdn>
  <rdn rId="0" localSheetId="1" customView="1" name="Z_9A752CC5_36AC_48BE_BF4B_1A38C4015906_.wvu.Rows" hidden="1" oldHidden="1">
    <formula>'программы '!$75:$78,'программы '!$162:$165,'программы '!$327:$330,'программы '!$348:$350,'программы '!$528:$531,'программы '!$542:$545,'программы '!$579:$580,'программы '!$794:$797,'программы '!$840:$843</formula>
    <oldFormula>'программы '!$75:$78,'программы '!$162:$165,'программы '!$327:$330,'программы '!$348:$350,'программы '!$528:$531,'программы '!$542:$545,'программы '!$579:$580,'программы '!$794:$797,'программы '!$840:$843</oldFormula>
  </rdn>
  <rdn rId="0" localSheetId="1" customView="1" name="Z_9A752CC5_36AC_48BE_BF4B_1A38C4015906_.wvu.FilterData" hidden="1" oldHidden="1">
    <formula>'программы '!$C$1:$C$945</formula>
    <oldFormula>'программы '!$C$1:$C$945</oldFormula>
  </rdn>
  <rcv guid="{9A752CC5-36AC-48BE-BF4B-1A38C4015906}" action="add"/>
</revisions>
</file>

<file path=xl/revisions/revisionLog1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40" sId="1" numFmtId="34">
    <oc r="D353">
      <v>674946.39</v>
    </oc>
    <nc r="D353">
      <f>674946.39+27776.16</f>
    </nc>
  </rcc>
  <rfmt sheetId="1" sqref="D353">
    <dxf>
      <fill>
        <patternFill patternType="solid">
          <bgColor rgb="FFFFFF00"/>
        </patternFill>
      </fill>
    </dxf>
  </rfmt>
  <rcc rId="4641" sId="1" numFmtId="34">
    <oc r="D357">
      <v>44632.900000000009</v>
    </oc>
    <nc r="D357">
      <f>44632.9-44503.69</f>
    </nc>
  </rcc>
  <rcv guid="{D9B90A86-BE39-4FED-8226-084809D277F3}" action="delete"/>
  <rdn rId="0" localSheetId="1" customView="1" name="Z_D9B90A86_BE39_4FED_8226_084809D277F3_.wvu.PrintArea" hidden="1" oldHidden="1">
    <formula>'программы '!$A$1:$F$938</formula>
    <oldFormula>'программы '!$A$1:$F$938</oldFormula>
  </rdn>
  <rdn rId="0" localSheetId="1" customView="1" name="Z_D9B90A86_BE39_4FED_8226_084809D277F3_.wvu.FilterData" hidden="1" oldHidden="1">
    <formula>'программы '!$C$1:$C$946</formula>
    <oldFormula>'программы '!$C$1:$C$946</oldFormula>
  </rdn>
  <rcv guid="{D9B90A86-BE39-4FED-8226-084809D277F3}" action="add"/>
</revisions>
</file>

<file path=xl/revisions/revisionLog1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357">
    <dxf>
      <fill>
        <patternFill patternType="solid">
          <bgColor rgb="FFFFFF00"/>
        </patternFill>
      </fill>
    </dxf>
  </rfmt>
  <rcc rId="4644" sId="1">
    <oc r="D353">
      <f>674946.39+27776.16</f>
    </oc>
    <nc r="D353">
      <f>674946.39+27776.16-65913.99</f>
    </nc>
  </rcc>
</revisions>
</file>

<file path=xl/revisions/revisionLog1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45" sId="1" numFmtId="34">
    <oc r="D724">
      <v>532706.79</v>
    </oc>
    <nc r="D724">
      <f>532706.79-244250</f>
    </nc>
  </rcc>
  <rfmt sheetId="1" sqref="D724">
    <dxf>
      <fill>
        <patternFill patternType="solid">
          <bgColor rgb="FFFFFF00"/>
        </patternFill>
      </fill>
    </dxf>
  </rfmt>
  <rcc rId="4646" sId="1" numFmtId="34">
    <oc r="D715">
      <v>41482.039999999994</v>
    </oc>
    <nc r="D715">
      <f>41482.04-25059</f>
    </nc>
  </rcc>
  <rfmt sheetId="1" sqref="D715">
    <dxf>
      <fill>
        <patternFill patternType="solid">
          <bgColor rgb="FFFFFF00"/>
        </patternFill>
      </fill>
    </dxf>
  </rfmt>
  <rcc rId="4647" sId="1" numFmtId="34">
    <oc r="D365">
      <v>3355721.36</v>
    </oc>
    <nc r="D365">
      <f>3355721.36-3344747.8</f>
    </nc>
  </rcc>
  <rfmt sheetId="1" sqref="D365">
    <dxf>
      <fill>
        <patternFill patternType="solid">
          <bgColor rgb="FFFFFF00"/>
        </patternFill>
      </fill>
    </dxf>
  </rfmt>
  <rcc rId="4648" sId="1" numFmtId="34">
    <oc r="D837">
      <v>358553.82</v>
    </oc>
    <nc r="D837">
      <f>358553.82+25059</f>
    </nc>
  </rcc>
  <rfmt sheetId="1" sqref="D837">
    <dxf>
      <fill>
        <patternFill patternType="solid">
          <bgColor rgb="FFFFFF00"/>
        </patternFill>
      </fill>
    </dxf>
  </rfmt>
  <rrc rId="4649" sId="1" ref="A886:XFD886" action="insertRow"/>
  <rcc rId="4650" sId="1">
    <nc r="C886">
      <v>243</v>
    </nc>
  </rcc>
  <rcc rId="4651" sId="1">
    <nc r="B886" t="inlineStr">
      <is>
        <t>63 0 00 80100</t>
      </is>
    </nc>
  </rcc>
  <rcc rId="4652" sId="1">
    <nc r="A886" t="inlineStr">
      <is>
        <t>Закупка товаров, работ и услуг в целях капитального ремонта государственного (муниципального) имущества</t>
      </is>
    </nc>
  </rcc>
  <rcc rId="4653" sId="1">
    <oc r="D885">
      <f>D887+D888</f>
    </oc>
    <nc r="D885">
      <f>D887+D888+D886</f>
    </nc>
  </rcc>
  <rcc rId="4654" sId="1">
    <oc r="E885">
      <f>E887+E888</f>
    </oc>
    <nc r="E885">
      <f>E887+E888+E886</f>
    </nc>
  </rcc>
  <rcc rId="4655" sId="1">
    <oc r="F885">
      <f>F887+F888</f>
    </oc>
    <nc r="F885">
      <f>F887+F888+F886</f>
    </nc>
  </rcc>
  <rcc rId="4656" sId="1" numFmtId="34">
    <nc r="D886">
      <v>446399.17</v>
    </nc>
  </rcc>
  <rcc rId="4657" sId="1" numFmtId="34">
    <oc r="D887">
      <v>6215375.5300000003</v>
    </oc>
    <nc r="D887">
      <f>6215375.53-446399.17</f>
    </nc>
  </rcc>
  <rfmt sheetId="1" sqref="D886:D887">
    <dxf>
      <fill>
        <patternFill patternType="solid">
          <bgColor rgb="FFFFFF00"/>
        </patternFill>
      </fill>
    </dxf>
  </rfmt>
  <rcc rId="4658" sId="1" numFmtId="34">
    <oc r="D291">
      <v>1289000</v>
    </oc>
    <nc r="D291">
      <f>1289000-135000</f>
    </nc>
  </rcc>
  <rfmt sheetId="1" sqref="D291">
    <dxf>
      <fill>
        <patternFill patternType="solid">
          <bgColor rgb="FFFFFF00"/>
        </patternFill>
      </fill>
    </dxf>
  </rfmt>
  <rrc rId="4659" sId="1" ref="A288:XFD288" action="insertRow">
    <undo index="0" exp="area" ref3D="1" dr="$A$299:$XFD$307" dn="Z_30E81E54_DD45_4653_9DCD_548F6723F554_.wvu.Rows" sId="1"/>
    <undo index="16" exp="area" ref3D="1" dr="$A$841:$XFD$844" dn="Z_9A752CC5_36AC_48BE_BF4B_1A38C4015906_.wvu.Rows" sId="1"/>
    <undo index="14" exp="area" ref3D="1" dr="$A$795:$XFD$798" dn="Z_9A752CC5_36AC_48BE_BF4B_1A38C4015906_.wvu.Rows" sId="1"/>
    <undo index="12" exp="area" ref3D="1" dr="$A$579:$XFD$580" dn="Z_9A752CC5_36AC_48BE_BF4B_1A38C4015906_.wvu.Rows" sId="1"/>
    <undo index="10" exp="area" ref3D="1" dr="$A$542:$XFD$545" dn="Z_9A752CC5_36AC_48BE_BF4B_1A38C4015906_.wvu.Rows" sId="1"/>
    <undo index="8" exp="area" ref3D="1" dr="$A$528:$XFD$531" dn="Z_9A752CC5_36AC_48BE_BF4B_1A38C4015906_.wvu.Rows" sId="1"/>
    <undo index="6" exp="area" ref3D="1" dr="$A$348:$XFD$350" dn="Z_9A752CC5_36AC_48BE_BF4B_1A38C4015906_.wvu.Rows" sId="1"/>
    <undo index="4" exp="area" ref3D="1" dr="$A$327:$XFD$330" dn="Z_9A752CC5_36AC_48BE_BF4B_1A38C4015906_.wvu.Rows" sId="1"/>
  </rrc>
  <rrc rId="4660" sId="1" ref="A288:XFD288" action="insertRow">
    <undo index="0" exp="area" ref3D="1" dr="$A$300:$XFD$308" dn="Z_30E81E54_DD45_4653_9DCD_548F6723F554_.wvu.Rows" sId="1"/>
    <undo index="16" exp="area" ref3D="1" dr="$A$842:$XFD$845" dn="Z_9A752CC5_36AC_48BE_BF4B_1A38C4015906_.wvu.Rows" sId="1"/>
    <undo index="14" exp="area" ref3D="1" dr="$A$796:$XFD$799" dn="Z_9A752CC5_36AC_48BE_BF4B_1A38C4015906_.wvu.Rows" sId="1"/>
    <undo index="12" exp="area" ref3D="1" dr="$A$580:$XFD$581" dn="Z_9A752CC5_36AC_48BE_BF4B_1A38C4015906_.wvu.Rows" sId="1"/>
    <undo index="10" exp="area" ref3D="1" dr="$A$543:$XFD$546" dn="Z_9A752CC5_36AC_48BE_BF4B_1A38C4015906_.wvu.Rows" sId="1"/>
    <undo index="8" exp="area" ref3D="1" dr="$A$529:$XFD$532" dn="Z_9A752CC5_36AC_48BE_BF4B_1A38C4015906_.wvu.Rows" sId="1"/>
    <undo index="6" exp="area" ref3D="1" dr="$A$349:$XFD$351" dn="Z_9A752CC5_36AC_48BE_BF4B_1A38C4015906_.wvu.Rows" sId="1"/>
    <undo index="4" exp="area" ref3D="1" dr="$A$328:$XFD$331" dn="Z_9A752CC5_36AC_48BE_BF4B_1A38C4015906_.wvu.Rows" sId="1"/>
  </rrc>
  <rrc rId="4661" sId="1" ref="A288:XFD288" action="insertRow">
    <undo index="0" exp="area" ref3D="1" dr="$A$301:$XFD$309" dn="Z_30E81E54_DD45_4653_9DCD_548F6723F554_.wvu.Rows" sId="1"/>
    <undo index="16" exp="area" ref3D="1" dr="$A$843:$XFD$846" dn="Z_9A752CC5_36AC_48BE_BF4B_1A38C4015906_.wvu.Rows" sId="1"/>
    <undo index="14" exp="area" ref3D="1" dr="$A$797:$XFD$800" dn="Z_9A752CC5_36AC_48BE_BF4B_1A38C4015906_.wvu.Rows" sId="1"/>
    <undo index="12" exp="area" ref3D="1" dr="$A$581:$XFD$582" dn="Z_9A752CC5_36AC_48BE_BF4B_1A38C4015906_.wvu.Rows" sId="1"/>
    <undo index="10" exp="area" ref3D="1" dr="$A$544:$XFD$547" dn="Z_9A752CC5_36AC_48BE_BF4B_1A38C4015906_.wvu.Rows" sId="1"/>
    <undo index="8" exp="area" ref3D="1" dr="$A$530:$XFD$533" dn="Z_9A752CC5_36AC_48BE_BF4B_1A38C4015906_.wvu.Rows" sId="1"/>
    <undo index="6" exp="area" ref3D="1" dr="$A$350:$XFD$352" dn="Z_9A752CC5_36AC_48BE_BF4B_1A38C4015906_.wvu.Rows" sId="1"/>
    <undo index="4" exp="area" ref3D="1" dr="$A$329:$XFD$332" dn="Z_9A752CC5_36AC_48BE_BF4B_1A38C4015906_.wvu.Rows" sId="1"/>
  </rrc>
  <rrc rId="4662" sId="1" ref="A288:XFD288" action="insertRow">
    <undo index="0" exp="area" ref3D="1" dr="$A$302:$XFD$310" dn="Z_30E81E54_DD45_4653_9DCD_548F6723F554_.wvu.Rows" sId="1"/>
    <undo index="16" exp="area" ref3D="1" dr="$A$844:$XFD$847" dn="Z_9A752CC5_36AC_48BE_BF4B_1A38C4015906_.wvu.Rows" sId="1"/>
    <undo index="14" exp="area" ref3D="1" dr="$A$798:$XFD$801" dn="Z_9A752CC5_36AC_48BE_BF4B_1A38C4015906_.wvu.Rows" sId="1"/>
    <undo index="12" exp="area" ref3D="1" dr="$A$582:$XFD$583" dn="Z_9A752CC5_36AC_48BE_BF4B_1A38C4015906_.wvu.Rows" sId="1"/>
    <undo index="10" exp="area" ref3D="1" dr="$A$545:$XFD$548" dn="Z_9A752CC5_36AC_48BE_BF4B_1A38C4015906_.wvu.Rows" sId="1"/>
    <undo index="8" exp="area" ref3D="1" dr="$A$531:$XFD$534" dn="Z_9A752CC5_36AC_48BE_BF4B_1A38C4015906_.wvu.Rows" sId="1"/>
    <undo index="6" exp="area" ref3D="1" dr="$A$351:$XFD$353" dn="Z_9A752CC5_36AC_48BE_BF4B_1A38C4015906_.wvu.Rows" sId="1"/>
    <undo index="4" exp="area" ref3D="1" dr="$A$330:$XFD$333" dn="Z_9A752CC5_36AC_48BE_BF4B_1A38C4015906_.wvu.Rows" sId="1"/>
  </rrc>
  <rcc rId="4663" sId="1">
    <nc r="A288" t="inlineStr">
      <is>
        <t>Приобретение и установка автономных дымовых пожарных извещателей</t>
      </is>
    </nc>
  </rcc>
  <rcc rId="4664" sId="1">
    <nc r="A289" t="inlineStr">
      <is>
        <t>Закупка товаров, работ и услуг для обеспечения государственных (муниципальных) нужд</t>
      </is>
    </nc>
  </rcc>
  <rcc rId="4665" sId="1">
    <nc r="A290" t="inlineStr">
      <is>
        <t>Иные закупки товаров,работ и услуг для обеспечения государственных (муниципальных) нужд</t>
      </is>
    </nc>
  </rcc>
  <rcc rId="4666" sId="1">
    <nc r="A291" t="inlineStr">
      <is>
        <t xml:space="preserve">Прочая закупка товаров, работ и услуг </t>
      </is>
    </nc>
  </rcc>
  <rcc rId="4667" sId="1">
    <nc r="C291">
      <v>244</v>
    </nc>
  </rcc>
  <rcc rId="4668" sId="1">
    <nc r="C290">
      <v>240</v>
    </nc>
  </rcc>
  <rcc rId="4669" sId="1">
    <nc r="C289">
      <v>200</v>
    </nc>
  </rcc>
  <rcc rId="4670" sId="1">
    <nc r="B288" t="inlineStr">
      <is>
        <t>05 2 00 S6870</t>
      </is>
    </nc>
  </rcc>
  <rcc rId="4671" sId="1">
    <nc r="B289" t="inlineStr">
      <is>
        <t>05 2 00 S6870</t>
      </is>
    </nc>
  </rcc>
  <rcc rId="4672" sId="1">
    <nc r="B290" t="inlineStr">
      <is>
        <t>05 2 00 S6870</t>
      </is>
    </nc>
  </rcc>
  <rcc rId="4673" sId="1">
    <nc r="B291" t="inlineStr">
      <is>
        <t>05 2 00 S6870</t>
      </is>
    </nc>
  </rcc>
  <rcc rId="4674" sId="1">
    <nc r="D290">
      <f>D291</f>
    </nc>
  </rcc>
  <rcc rId="4675" sId="1">
    <nc r="E290">
      <f>E291</f>
    </nc>
  </rcc>
  <rcc rId="4676" sId="1">
    <nc r="F290">
      <f>F291</f>
    </nc>
  </rcc>
  <rcc rId="4677" sId="1">
    <nc r="D289">
      <f>D290</f>
    </nc>
  </rcc>
  <rcc rId="4678" sId="1">
    <nc r="E289">
      <f>E290</f>
    </nc>
  </rcc>
  <rcc rId="4679" sId="1">
    <nc r="F289">
      <f>F290</f>
    </nc>
  </rcc>
  <rcc rId="4680" sId="1">
    <nc r="D288">
      <f>D289</f>
    </nc>
  </rcc>
  <rcc rId="4681" sId="1">
    <nc r="E288">
      <f>E289</f>
    </nc>
  </rcc>
  <rcc rId="4682" sId="1">
    <nc r="F288">
      <f>F289</f>
    </nc>
  </rcc>
  <rcc rId="4683" sId="1">
    <oc r="D283">
      <f>D284+D292</f>
    </oc>
    <nc r="D283">
      <f>D284+D292+D288</f>
    </nc>
  </rcc>
  <rcc rId="4684" sId="1">
    <oc r="E283">
      <f>E284+E292</f>
    </oc>
    <nc r="E283">
      <f>E284+E292+E288</f>
    </nc>
  </rcc>
  <rcc rId="4685" sId="1">
    <oc r="F283">
      <f>F284+F292</f>
    </oc>
    <nc r="F283">
      <f>F284+F292+F288</f>
    </nc>
  </rcc>
  <rcc rId="4686" sId="1" numFmtId="34">
    <nc r="D291">
      <v>1233656</v>
    </nc>
  </rcc>
  <rfmt sheetId="1" sqref="D291">
    <dxf>
      <fill>
        <patternFill patternType="solid">
          <bgColor rgb="FFFFFF00"/>
        </patternFill>
      </fill>
    </dxf>
  </rfmt>
  <rcv guid="{D9B90A86-BE39-4FED-8226-084809D277F3}" action="delete"/>
  <rdn rId="0" localSheetId="1" customView="1" name="Z_D9B90A86_BE39_4FED_8226_084809D277F3_.wvu.PrintArea" hidden="1" oldHidden="1">
    <formula>'программы '!$A$1:$F$943</formula>
    <oldFormula>'программы '!$A$1:$F$943</oldFormula>
  </rdn>
  <rdn rId="0" localSheetId="1" customView="1" name="Z_D9B90A86_BE39_4FED_8226_084809D277F3_.wvu.FilterData" hidden="1" oldHidden="1">
    <formula>'программы '!$C$1:$C$951</formula>
    <oldFormula>'программы '!$C$1:$C$951</oldFormula>
  </rdn>
  <rcv guid="{D9B90A86-BE39-4FED-8226-084809D277F3}" action="add"/>
</revisions>
</file>

<file path=xl/revisions/revisionLog1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89" sId="1" numFmtId="34">
    <oc r="D366">
      <v>5000000</v>
    </oc>
    <nc r="D366">
      <f>5000000+344484</f>
    </nc>
  </rcc>
</revisions>
</file>

<file path=xl/revisions/revisionLog1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366">
    <dxf>
      <fill>
        <patternFill patternType="solid">
          <bgColor rgb="FFFFFF00"/>
        </patternFill>
      </fill>
    </dxf>
  </rfmt>
  <rcc rId="4690" sId="1" numFmtId="34">
    <oc r="D382">
      <v>3591627.58</v>
    </oc>
    <nc r="D382">
      <f>3591627.58+3595.22</f>
    </nc>
  </rcc>
  <rfmt sheetId="1" sqref="D382">
    <dxf>
      <fill>
        <patternFill patternType="solid">
          <bgColor rgb="FFFFFF00"/>
        </patternFill>
      </fill>
    </dxf>
  </rfmt>
  <rcc rId="4691" sId="1" numFmtId="34">
    <oc r="D387">
      <v>1942940.95</v>
    </oc>
    <nc r="D387">
      <f>1942940.95-3595.22</f>
    </nc>
  </rcc>
  <rfmt sheetId="1" sqref="D387">
    <dxf>
      <fill>
        <patternFill patternType="solid">
          <bgColor rgb="FFFFFF00"/>
        </patternFill>
      </fill>
    </dxf>
  </rfmt>
</revisions>
</file>

<file path=xl/revisions/revisionLog1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92" sId="1">
    <oc r="D366">
      <f>5000000+344484</f>
    </oc>
    <nc r="D366">
      <f>5000000+344484+87070.87</f>
    </nc>
  </rcc>
</revisions>
</file>

<file path=xl/revisions/revisionLog1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93" sId="1" numFmtId="34">
    <oc r="D787">
      <v>2874890.87</v>
    </oc>
    <nc r="D787">
      <f>2874890.87-97542.24</f>
    </nc>
  </rcc>
  <rfmt sheetId="1" sqref="D787">
    <dxf>
      <fill>
        <patternFill patternType="solid">
          <bgColor rgb="FFFFFF00"/>
        </patternFill>
      </fill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>
  <rcc rId="5762" sId="1" numFmtId="34">
    <oc r="D64">
      <v>106096804.34</v>
    </oc>
    <nc r="D64">
      <f>106096804.34-80000</f>
    </nc>
  </rcc>
  <rrc rId="5763" sId="1" ref="A123:XFD126" action="insertRow">
    <undo index="0" exp="area" ref3D="1" dr="$A$303:$XFD$311" dn="Z_30E81E54_DD45_4653_9DCD_548F6723F554_.wvu.Rows" sId="1"/>
  </rrc>
  <rfmt sheetId="1" sqref="A123" start="0" length="0">
    <dxf>
      <font>
        <color indexed="8"/>
        <name val="Times New Roman Cyr"/>
        <scheme val="none"/>
      </font>
      <alignment horizontal="justify" wrapText="0" readingOrder="0"/>
      <border outline="0">
        <bottom style="thin">
          <color indexed="64"/>
        </bottom>
      </border>
    </dxf>
  </rfmt>
  <rfmt sheetId="1" s="1" sqref="B123" start="0" length="0">
    <dxf>
      <font>
        <sz val="10"/>
        <color auto="1"/>
        <name val="Times New Roman Cyr"/>
        <scheme val="none"/>
      </font>
      <numFmt numFmtId="0" formatCode="General"/>
    </dxf>
  </rfmt>
  <rfmt sheetId="1" s="1" sqref="C123" start="0" length="0">
    <dxf>
      <font>
        <sz val="10"/>
        <color auto="1"/>
        <name val="Times New Roman Cyr"/>
        <scheme val="none"/>
      </font>
    </dxf>
  </rfmt>
  <rcc rId="5764" sId="1">
    <nc r="D123">
      <f>D124</f>
    </nc>
  </rcc>
  <rcc rId="5765" sId="1">
    <nc r="E123">
      <f>E124</f>
    </nc>
  </rcc>
  <rcc rId="5766" sId="1">
    <nc r="F123">
      <f>F124</f>
    </nc>
  </rcc>
  <rfmt sheetId="1" sqref="A123:XFD123" start="0" length="0">
    <dxf>
      <fill>
        <patternFill patternType="none">
          <bgColor indexed="65"/>
        </patternFill>
      </fill>
    </dxf>
  </rfmt>
  <rcc rId="5767" sId="1" odxf="1" dxf="1">
    <nc r="A124" t="inlineStr">
      <is>
        <t>Капитальные вложения в объекты государственной (муниципальной) собственности</t>
      </is>
    </nc>
    <odxf>
      <font>
        <name val="Times New Roman"/>
        <scheme val="none"/>
      </font>
      <alignment horizontal="left" wrapText="1" readingOrder="0"/>
      <border outline="0">
        <bottom/>
      </border>
    </odxf>
    <ndxf>
      <font>
        <name val="Times New Roman Cyr"/>
        <scheme val="none"/>
      </font>
      <alignment horizontal="justify" wrapText="0" readingOrder="0"/>
      <border outline="0">
        <bottom style="thin">
          <color indexed="64"/>
        </bottom>
      </border>
    </ndxf>
  </rcc>
  <rfmt sheetId="1" s="1" sqref="B124" start="0" length="0">
    <dxf>
      <font>
        <sz val="10"/>
        <color auto="1"/>
        <name val="Times New Roman Cyr"/>
        <scheme val="none"/>
      </font>
      <numFmt numFmtId="0" formatCode="General"/>
    </dxf>
  </rfmt>
  <rcc rId="5768" sId="1" odxf="1" s="1" dxf="1">
    <nc r="C124">
      <v>400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odxf>
    <ndxf>
      <font>
        <sz val="10"/>
        <color auto="1"/>
        <name val="Times New Roman Cyr"/>
        <scheme val="none"/>
      </font>
    </ndxf>
  </rcc>
  <rcc rId="5769" sId="1">
    <nc r="D124">
      <f>D125</f>
    </nc>
  </rcc>
  <rcc rId="5770" sId="1">
    <nc r="E124">
      <f>E125</f>
    </nc>
  </rcc>
  <rcc rId="5771" sId="1">
    <nc r="F124">
      <f>F125</f>
    </nc>
  </rcc>
  <rfmt sheetId="1" sqref="A124:XFD124" start="0" length="0">
    <dxf>
      <fill>
        <patternFill patternType="none">
          <bgColor indexed="65"/>
        </patternFill>
      </fill>
    </dxf>
  </rfmt>
  <rcc rId="5772" sId="1" odxf="1" dxf="1">
    <nc r="A125" t="inlineStr">
      <is>
        <t>Бюджетные инвестиции</t>
      </is>
    </nc>
    <odxf>
      <font>
        <name val="Times New Roman"/>
        <scheme val="none"/>
      </font>
      <alignment horizontal="left" wrapText="1" readingOrder="0"/>
      <border outline="0">
        <bottom/>
      </border>
    </odxf>
    <ndxf>
      <font>
        <name val="Times New Roman Cyr"/>
        <scheme val="none"/>
      </font>
      <alignment horizontal="justify" wrapText="0" readingOrder="0"/>
      <border outline="0">
        <bottom style="thin">
          <color indexed="64"/>
        </bottom>
      </border>
    </ndxf>
  </rcc>
  <rfmt sheetId="1" s="1" sqref="B125" start="0" length="0">
    <dxf>
      <font>
        <sz val="10"/>
        <color auto="1"/>
        <name val="Times New Roman Cyr"/>
        <scheme val="none"/>
      </font>
      <numFmt numFmtId="0" formatCode="General"/>
    </dxf>
  </rfmt>
  <rcc rId="5773" sId="1" odxf="1" s="1" dxf="1">
    <nc r="C125">
      <v>410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odxf>
    <ndxf>
      <font>
        <sz val="10"/>
        <color auto="1"/>
        <name val="Times New Roman Cyr"/>
        <scheme val="none"/>
      </font>
    </ndxf>
  </rcc>
  <rcc rId="5774" sId="1">
    <nc r="D125">
      <f>D126</f>
    </nc>
  </rcc>
  <rcc rId="5775" sId="1">
    <nc r="E125">
      <f>E126</f>
    </nc>
  </rcc>
  <rcc rId="5776" sId="1">
    <nc r="F125">
      <f>F126</f>
    </nc>
  </rcc>
  <rfmt sheetId="1" sqref="A125:XFD125" start="0" length="0">
    <dxf>
      <fill>
        <patternFill patternType="none">
          <bgColor indexed="65"/>
        </patternFill>
      </fill>
    </dxf>
  </rfmt>
  <rcc rId="5777" sId="1" odxf="1" dxf="1">
    <nc r="A126" t="inlineStr">
      <is>
        <t>Бюджетные инвестиции в объекты капитального строительства государственной (муниципальной) собственности</t>
      </is>
    </nc>
    <odxf>
      <font>
        <name val="Times New Roman"/>
        <scheme val="none"/>
      </font>
      <alignment horizontal="left" wrapText="1" readingOrder="0"/>
      <border outline="0">
        <bottom/>
      </border>
    </odxf>
    <ndxf>
      <font>
        <name val="Times New Roman Cyr"/>
        <scheme val="none"/>
      </font>
      <alignment horizontal="justify" wrapText="0" readingOrder="0"/>
      <border outline="0">
        <bottom style="thin">
          <color indexed="64"/>
        </bottom>
      </border>
    </ndxf>
  </rcc>
  <rfmt sheetId="1" s="1" sqref="B126" start="0" length="0">
    <dxf>
      <font>
        <sz val="10"/>
        <color auto="1"/>
        <name val="Times New Roman Cyr"/>
        <scheme val="none"/>
      </font>
      <numFmt numFmtId="0" formatCode="General"/>
    </dxf>
  </rfmt>
  <rcc rId="5778" sId="1" odxf="1" s="1" dxf="1">
    <nc r="C126">
      <v>414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odxf>
    <ndxf>
      <font>
        <sz val="10"/>
        <color auto="1"/>
        <name val="Times New Roman Cyr"/>
        <scheme val="none"/>
      </font>
    </ndxf>
  </rcc>
  <rfmt sheetId="1" sqref="D126" start="0" length="0">
    <dxf>
      <numFmt numFmtId="167" formatCode="_(* #,##0.00_);_(* \(#,##0.00\);_(* &quot;-&quot;??_);_(@_)"/>
      <alignment horizontal="center" readingOrder="0"/>
    </dxf>
  </rfmt>
  <rfmt sheetId="1" sqref="A126:XFD126" start="0" length="0">
    <dxf>
      <fill>
        <patternFill patternType="none">
          <bgColor indexed="65"/>
        </patternFill>
      </fill>
    </dxf>
  </rfmt>
  <rcc rId="5779" sId="1">
    <nc r="B123" t="inlineStr">
      <is>
        <t>03 2 00 82301</t>
      </is>
    </nc>
  </rcc>
  <rcc rId="5780" sId="1">
    <nc r="B124" t="inlineStr">
      <is>
        <t>03 2 00 82301</t>
      </is>
    </nc>
  </rcc>
  <rcc rId="5781" sId="1">
    <nc r="B125" t="inlineStr">
      <is>
        <t>03 2 00 82301</t>
      </is>
    </nc>
  </rcc>
  <rcc rId="5782" sId="1">
    <nc r="B126" t="inlineStr">
      <is>
        <t>03 2 00 82301</t>
      </is>
    </nc>
  </rcc>
  <rcc rId="5783" sId="1" numFmtId="34">
    <nc r="E126">
      <v>0</v>
    </nc>
  </rcc>
  <rcc rId="5784" sId="1" odxf="1" dxf="1" numFmtId="34">
    <nc r="D126">
      <v>41559.279999999999</v>
    </nc>
    <ndxf>
      <numFmt numFmtId="164" formatCode="_-* #,##0.00_р_._-;\-* #,##0.00_р_._-;_-* &quot;-&quot;??_р_._-;_-@_-"/>
      <alignment horizontal="general" readingOrder="0"/>
    </ndxf>
  </rcc>
  <rcc rId="5785" sId="1">
    <oc r="D70">
      <f>D87+D91+D107+D112+D162+D166+D127+D135+D148+D139+D131+D99+D119+D157+D95+D75+D103+D79+D71+D83</f>
    </oc>
    <nc r="D70">
      <f>D87+D91+D107+D112+D162+D166+D127+D135+D148+D139+D131+D99+D119+D157+D95+D75+D103+D79+D71+D83+D123</f>
    </nc>
  </rcc>
  <rcc rId="5786" sId="1" numFmtId="34">
    <oc r="D147">
      <v>41559.279999999999</v>
    </oc>
    <nc r="D147">
      <f>41559.28-41559.28</f>
    </nc>
  </rcc>
  <rcc rId="5787" sId="1">
    <nc r="A123" t="inlineStr">
      <is>
        <t>Создание новых мест в общеобразовательных организациях, расположенных в сельской местности и поселках городского типа(местный бюджет)</t>
      </is>
    </nc>
  </rcc>
  <rcc rId="5788" sId="1" numFmtId="34">
    <oc r="D110">
      <v>219731250.41999999</v>
    </oc>
    <nc r="D110">
      <f>219731250.42+200000</f>
    </nc>
  </rcc>
  <rcc rId="5789" sId="1" numFmtId="34">
    <oc r="D188">
      <v>17323745.359999999</v>
    </oc>
    <nc r="D188">
      <f>17323745.36-120000</f>
    </nc>
  </rcc>
  <rrc rId="5790" sId="1" ref="A35:XFD38" action="insertRow">
    <undo index="0" exp="area" ref3D="1" dr="$A$307:$XFD$315" dn="Z_30E81E54_DD45_4653_9DCD_548F6723F554_.wvu.Rows" sId="1"/>
  </rrc>
  <rfmt sheetId="1" sqref="A35" start="0" length="0">
    <dxf>
      <border outline="0">
        <top/>
        <bottom style="thin">
          <color indexed="64"/>
        </bottom>
      </border>
    </dxf>
  </rfmt>
  <rcc rId="5791" sId="1" odxf="1" dxf="1">
    <nc r="D35">
      <f>D37</f>
    </nc>
    <odxf>
      <numFmt numFmtId="167" formatCode="_(* #,##0.00_);_(* \(#,##0.00\);_(* &quot;-&quot;??_);_(@_)"/>
      <alignment horizontal="center" readingOrder="0"/>
    </odxf>
    <ndxf>
      <numFmt numFmtId="164" formatCode="_-* #,##0.00_р_._-;\-* #,##0.00_р_._-;_-* &quot;-&quot;??_р_._-;_-@_-"/>
      <alignment horizontal="general" readingOrder="0"/>
    </ndxf>
  </rcc>
  <rcc rId="5792" sId="1" odxf="1" dxf="1">
    <nc r="E35">
      <f>E37</f>
    </nc>
    <odxf>
      <numFmt numFmtId="167" formatCode="_(* #,##0.00_);_(* \(#,##0.00\);_(* &quot;-&quot;??_);_(@_)"/>
      <alignment horizontal="center" readingOrder="0"/>
    </odxf>
    <ndxf>
      <numFmt numFmtId="164" formatCode="_-* #,##0.00_р_._-;\-* #,##0.00_р_._-;_-* &quot;-&quot;??_р_._-;_-@_-"/>
      <alignment horizontal="general" readingOrder="0"/>
    </ndxf>
  </rcc>
  <rcc rId="5793" sId="1" odxf="1" dxf="1">
    <nc r="F35">
      <f>F37</f>
    </nc>
    <odxf>
      <numFmt numFmtId="167" formatCode="_(* #,##0.00_);_(* \(#,##0.00\);_(* &quot;-&quot;??_);_(@_)"/>
      <alignment horizontal="center" readingOrder="0"/>
    </odxf>
    <ndxf>
      <numFmt numFmtId="164" formatCode="_-* #,##0.00_р_._-;\-* #,##0.00_р_._-;_-* &quot;-&quot;??_р_._-;_-@_-"/>
      <alignment horizontal="general" readingOrder="0"/>
    </ndxf>
  </rcc>
  <rcc rId="5794" sId="1" odxf="1" dxf="1">
    <nc r="A36" t="inlineStr">
      <is>
        <t>Закупка товаров, работ и услуг для обеспечения государственных (муниципальных) нужд</t>
      </is>
    </nc>
    <odxf>
      <border outline="0">
        <top style="thin">
          <color indexed="64"/>
        </top>
        <bottom/>
      </border>
    </odxf>
    <ndxf>
      <border outline="0">
        <top/>
        <bottom style="thin">
          <color indexed="64"/>
        </bottom>
      </border>
    </ndxf>
  </rcc>
  <rcc rId="5795" sId="1">
    <nc r="C36" t="inlineStr">
      <is>
        <t>200</t>
      </is>
    </nc>
  </rcc>
  <rcc rId="5796" sId="1" odxf="1" dxf="1">
    <nc r="D36">
      <f>D37</f>
    </nc>
    <odxf>
      <numFmt numFmtId="167" formatCode="_(* #,##0.00_);_(* \(#,##0.00\);_(* &quot;-&quot;??_);_(@_)"/>
      <alignment horizontal="center" readingOrder="0"/>
    </odxf>
    <ndxf>
      <numFmt numFmtId="164" formatCode="_-* #,##0.00_р_._-;\-* #,##0.00_р_._-;_-* &quot;-&quot;??_р_._-;_-@_-"/>
      <alignment horizontal="general" readingOrder="0"/>
    </ndxf>
  </rcc>
  <rcc rId="5797" sId="1" odxf="1" dxf="1">
    <nc r="E36">
      <f>E37</f>
    </nc>
    <odxf>
      <numFmt numFmtId="167" formatCode="_(* #,##0.00_);_(* \(#,##0.00\);_(* &quot;-&quot;??_);_(@_)"/>
      <alignment horizontal="center" readingOrder="0"/>
    </odxf>
    <ndxf>
      <numFmt numFmtId="164" formatCode="_-* #,##0.00_р_._-;\-* #,##0.00_р_._-;_-* &quot;-&quot;??_р_._-;_-@_-"/>
      <alignment horizontal="general" readingOrder="0"/>
    </ndxf>
  </rcc>
  <rcc rId="5798" sId="1" odxf="1" dxf="1">
    <nc r="F36">
      <f>F37</f>
    </nc>
    <odxf>
      <numFmt numFmtId="167" formatCode="_(* #,##0.00_);_(* \(#,##0.00\);_(* &quot;-&quot;??_);_(@_)"/>
      <alignment horizontal="center" readingOrder="0"/>
    </odxf>
    <ndxf>
      <numFmt numFmtId="164" formatCode="_-* #,##0.00_р_._-;\-* #,##0.00_р_._-;_-* &quot;-&quot;??_р_._-;_-@_-"/>
      <alignment horizontal="general" readingOrder="0"/>
    </ndxf>
  </rcc>
  <rcc rId="5799" sId="1" odxf="1" dxf="1">
    <nc r="A37" t="inlineStr">
      <is>
        <t>Иные закупки товаров,работ и услуг для обеспечения государственных (муниципальных) нужд</t>
      </is>
    </nc>
    <odxf>
      <border outline="0">
        <top style="thin">
          <color indexed="64"/>
        </top>
        <bottom/>
      </border>
    </odxf>
    <ndxf>
      <border outline="0">
        <top/>
        <bottom style="thin">
          <color indexed="64"/>
        </bottom>
      </border>
    </ndxf>
  </rcc>
  <rcc rId="5800" sId="1">
    <nc r="C37" t="inlineStr">
      <is>
        <t>240</t>
      </is>
    </nc>
  </rcc>
  <rcc rId="5801" sId="1" odxf="1" dxf="1">
    <nc r="D37">
      <f>D38</f>
    </nc>
    <odxf>
      <numFmt numFmtId="167" formatCode="_(* #,##0.00_);_(* \(#,##0.00\);_(* &quot;-&quot;??_);_(@_)"/>
      <alignment horizontal="center" readingOrder="0"/>
    </odxf>
    <ndxf>
      <numFmt numFmtId="164" formatCode="_-* #,##0.00_р_._-;\-* #,##0.00_р_._-;_-* &quot;-&quot;??_р_._-;_-@_-"/>
      <alignment horizontal="general" readingOrder="0"/>
    </ndxf>
  </rcc>
  <rcc rId="5802" sId="1" odxf="1" dxf="1">
    <nc r="E37">
      <f>E38</f>
    </nc>
    <odxf>
      <numFmt numFmtId="167" formatCode="_(* #,##0.00_);_(* \(#,##0.00\);_(* &quot;-&quot;??_);_(@_)"/>
      <alignment horizontal="center" readingOrder="0"/>
    </odxf>
    <ndxf>
      <numFmt numFmtId="164" formatCode="_-* #,##0.00_р_._-;\-* #,##0.00_р_._-;_-* &quot;-&quot;??_р_._-;_-@_-"/>
      <alignment horizontal="general" readingOrder="0"/>
    </ndxf>
  </rcc>
  <rcc rId="5803" sId="1" odxf="1" dxf="1">
    <nc r="F37">
      <f>F38</f>
    </nc>
    <odxf>
      <numFmt numFmtId="167" formatCode="_(* #,##0.00_);_(* \(#,##0.00\);_(* &quot;-&quot;??_);_(@_)"/>
      <alignment horizontal="center" readingOrder="0"/>
    </odxf>
    <ndxf>
      <numFmt numFmtId="164" formatCode="_-* #,##0.00_р_._-;\-* #,##0.00_р_._-;_-* &quot;-&quot;??_р_._-;_-@_-"/>
      <alignment horizontal="general" readingOrder="0"/>
    </ndxf>
  </rcc>
  <rcc rId="5804" sId="1" odxf="1" dxf="1">
    <nc r="A38" t="inlineStr">
      <is>
        <t xml:space="preserve">Прочая закупка товаров, работ и услуг </t>
      </is>
    </nc>
    <odxf>
      <border outline="0">
        <top style="thin">
          <color indexed="64"/>
        </top>
        <bottom/>
      </border>
    </odxf>
    <ndxf>
      <border outline="0">
        <top/>
        <bottom style="thin">
          <color indexed="64"/>
        </bottom>
      </border>
    </ndxf>
  </rcc>
  <rcc rId="5805" sId="1">
    <nc r="C38" t="inlineStr">
      <is>
        <t>244</t>
      </is>
    </nc>
  </rcc>
  <rcc rId="5806" sId="1">
    <nc r="B35" t="inlineStr">
      <is>
        <t>02 0 00 83300</t>
      </is>
    </nc>
  </rcc>
  <rcc rId="5807" sId="1">
    <nc r="B36" t="inlineStr">
      <is>
        <t>02 0 00 83300</t>
      </is>
    </nc>
  </rcc>
  <rcc rId="5808" sId="1">
    <nc r="B37" t="inlineStr">
      <is>
        <t>02 0 00 83300</t>
      </is>
    </nc>
  </rcc>
  <rcc rId="5809" sId="1">
    <nc r="B38" t="inlineStr">
      <is>
        <t>02 0 00 83300</t>
      </is>
    </nc>
  </rcc>
  <rcc rId="5810" sId="1">
    <nc r="A35" t="inlineStr">
      <is>
        <t>Мероприятия в области дорожного хозяйства</t>
      </is>
    </nc>
  </rcc>
  <rcc rId="5811" sId="1" numFmtId="34">
    <nc r="E38">
      <v>0</v>
    </nc>
  </rcc>
  <rcc rId="5812" sId="1" numFmtId="34">
    <nc r="F38">
      <v>0</v>
    </nc>
  </rcc>
  <rcc rId="5813" sId="1">
    <oc r="D23">
      <f>D28+D24+D32</f>
    </oc>
    <nc r="D23">
      <f>D28+D24+D32+D35</f>
    </nc>
  </rcc>
  <rcc rId="5814" sId="1">
    <oc r="E23">
      <f>E28+E24+E32</f>
    </oc>
    <nc r="E23">
      <f>E28+E24+E32+E35</f>
    </nc>
  </rcc>
  <rcc rId="5815" sId="1">
    <oc r="F23">
      <f>F28+F24+F32</f>
    </oc>
    <nc r="F23">
      <f>F28+F24+F32+F35</f>
    </nc>
  </rcc>
  <rcc rId="5816" sId="1" odxf="1" dxf="1" numFmtId="34">
    <nc r="D38">
      <v>200000</v>
    </nc>
    <ndxf>
      <numFmt numFmtId="164" formatCode="_-* #,##0.00_р_._-;\-* #,##0.00_р_._-;_-* &quot;-&quot;??_р_._-;_-@_-"/>
      <alignment horizontal="general" readingOrder="0"/>
    </ndxf>
  </rcc>
  <rcc rId="5817" sId="1">
    <oc r="D810">
      <f>45000+655000</f>
    </oc>
    <nc r="D810">
      <f>45000+655000-60000-31898</f>
    </nc>
  </rcc>
  <rcc rId="5818" sId="1">
    <oc r="D781">
      <f>2883700+70000-2111604.31+267000-262984.84-49469.65-91974.96</f>
    </oc>
    <nc r="D781">
      <f>2883700+70000-2111604.31+267000-262984.84-49469.65-91974.96-140000</f>
    </nc>
  </rcc>
  <rcc rId="5819" sId="1">
    <oc r="D718">
      <f>8457235.47+452891.15+307495-5000-50000-94296-2300.4-51137.52-512.48+142849.26</f>
    </oc>
    <nc r="D718">
      <f>8457235.47+452891.15+307495-5000-50000-94296-2300.4-51137.52-512.48+142849.26+31898</f>
    </nc>
  </rcc>
  <rcc rId="5820" sId="1" numFmtId="34">
    <oc r="D427">
      <v>24236545.23</v>
    </oc>
    <nc r="D427">
      <f>24236545.23+156664.96</f>
    </nc>
  </rcc>
  <rcc rId="5821" sId="1" numFmtId="34">
    <oc r="D469">
      <v>124883</v>
    </oc>
    <nc r="D469">
      <f>124883-124883</f>
    </nc>
  </rcc>
  <rcc rId="5822" sId="1" numFmtId="34">
    <oc r="D475">
      <v>120655.72</v>
    </oc>
    <nc r="D475">
      <f>120655.72-31781.96</f>
    </nc>
  </rcc>
  <rrc rId="5823" sId="1" ref="A1:XFD2" action="insertRow">
    <undo index="0" exp="area" ref3D="1" dr="$A$311:$XFD$319" dn="Z_30E81E54_DD45_4653_9DCD_548F6723F554_.wvu.Rows" sId="1"/>
  </rrc>
  <rcc rId="5824" sId="1">
    <nc r="F1" t="inlineStr">
      <is>
        <t>Приложение №3</t>
      </is>
    </nc>
  </rcc>
  <rcc rId="5825" sId="1">
    <nc r="F2" t="inlineStr">
      <is>
        <t>к таблице поправок №1</t>
      </is>
    </nc>
  </rcc>
  <rfmt sheetId="1" sqref="F1:F2">
    <dxf>
      <alignment horizontal="right" readingOrder="0"/>
    </dxf>
  </rfmt>
  <rrc rId="5826" sId="1" ref="A3:XFD3" action="insertRow">
    <undo index="0" exp="area" ref3D="1" dr="$A$313:$XFD$321" dn="Z_30E81E54_DD45_4653_9DCD_548F6723F554_.wvu.Rows" sId="1"/>
  </rrc>
  <rcv guid="{9A752CC5-36AC-48BE-BF4B-1A38C4015906}" action="delete"/>
  <rdn rId="0" localSheetId="1" customView="1" name="Z_9A752CC5_36AC_48BE_BF4B_1A38C4015906_.wvu.PrintArea" hidden="1" oldHidden="1">
    <formula>'программы '!$A$1:$F$954</formula>
    <oldFormula>'программы '!$A$4:$F$954</oldFormula>
  </rdn>
  <rdn rId="0" localSheetId="1" customView="1" name="Z_9A752CC5_36AC_48BE_BF4B_1A38C4015906_.wvu.FilterData" hidden="1" oldHidden="1">
    <formula>'программы '!$C$4:$C$962</formula>
    <oldFormula>'программы '!$B$4:$B$962</oldFormula>
  </rdn>
  <rcv guid="{9A752CC5-36AC-48BE-BF4B-1A38C4015906}" action="add"/>
</revisions>
</file>

<file path=xl/revisions/revisionLog1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94" sId="1" numFmtId="34">
    <oc r="D259">
      <v>6128158.25</v>
    </oc>
    <nc r="D259">
      <f>6128158.25-40062</f>
    </nc>
  </rcc>
  <rfmt sheetId="1" sqref="D259">
    <dxf>
      <fill>
        <patternFill patternType="solid">
          <bgColor rgb="FFFFFF00"/>
        </patternFill>
      </fill>
    </dxf>
  </rfmt>
  <rcc rId="4695" sId="1" numFmtId="34">
    <oc r="D267">
      <v>4772643.2</v>
    </oc>
    <nc r="D267">
      <f>4772643.2+40062</f>
    </nc>
  </rcc>
  <rfmt sheetId="1" sqref="D267">
    <dxf>
      <fill>
        <patternFill patternType="solid">
          <bgColor rgb="FFFFFF00"/>
        </patternFill>
      </fill>
    </dxf>
  </rfmt>
  <rcc rId="4696" sId="1" numFmtId="34">
    <oc r="D272">
      <v>7881164.9000000004</v>
    </oc>
    <nc r="D272">
      <f>7881164.9-40468.9</f>
    </nc>
  </rcc>
  <rfmt sheetId="1" sqref="D272">
    <dxf>
      <fill>
        <patternFill patternType="solid">
          <bgColor rgb="FFFFFF00"/>
        </patternFill>
      </fill>
    </dxf>
  </rfmt>
</revisions>
</file>

<file path=xl/revisions/revisionLog121.xml><?xml version="1.0" encoding="utf-8"?>
<revisions xmlns="http://schemas.openxmlformats.org/spreadsheetml/2006/main" xmlns:r="http://schemas.openxmlformats.org/officeDocument/2006/relationships">
  <rrc rId="2689" sId="1" ref="A738:XFD740" action="insertRow"/>
  <rcc rId="2690" sId="1" odxf="1" dxf="1">
    <nc r="A738" t="inlineStr">
      <is>
        <t xml:space="preserve">Софинансирование к иным межбюджетным трансфертам на развитие  инициативных проектов </t>
      </is>
    </nc>
    <odxf>
      <fill>
        <patternFill patternType="none">
          <bgColor indexed="65"/>
        </patternFill>
      </fill>
      <alignment vertical="center" readingOrder="0"/>
      <border outline="0">
        <left/>
        <right/>
        <bottom/>
      </border>
    </odxf>
    <ndxf>
      <fill>
        <patternFill patternType="solid">
          <bgColor rgb="FF92D050"/>
        </patternFill>
      </fill>
      <alignment vertical="top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2691" sId="1" odxf="1" dxf="1">
    <nc r="A739" t="inlineStr">
      <is>
        <t>Иные бюджетные ассигнования</t>
      </is>
    </nc>
    <odxf>
      <fill>
        <patternFill patternType="none">
          <bgColor indexed="65"/>
        </patternFill>
      </fill>
      <border outline="0">
        <left/>
        <right/>
        <bottom/>
      </border>
    </odxf>
    <ndxf>
      <fill>
        <patternFill patternType="solid">
          <bgColor rgb="FF92D050"/>
        </patternFill>
      </fill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2692" sId="1" odxf="1" dxf="1">
    <nc r="A740" t="inlineStr">
      <is>
        <t>Резервные средства</t>
      </is>
    </nc>
    <odxf>
      <fill>
        <patternFill patternType="none">
          <bgColor indexed="65"/>
        </patternFill>
      </fill>
      <border outline="0">
        <left/>
        <right/>
        <top/>
        <bottom/>
      </border>
    </odxf>
    <ndxf>
      <fill>
        <patternFill patternType="solid">
          <bgColor rgb="FF92D05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693" sId="1" odxf="1" dxf="1">
    <nc r="B738" t="inlineStr">
      <is>
        <t>67 0 00 88890</t>
      </is>
    </nc>
    <odxf>
      <numFmt numFmtId="0" formatCode="General"/>
      <fill>
        <patternFill patternType="none">
          <bgColor indexed="65"/>
        </patternFill>
      </fill>
      <border outline="0">
        <bottom/>
      </border>
    </odxf>
    <ndxf>
      <numFmt numFmtId="30" formatCode="@"/>
      <fill>
        <patternFill patternType="solid">
          <bgColor rgb="FF92D050"/>
        </patternFill>
      </fill>
      <border outline="0">
        <bottom style="thin">
          <color indexed="64"/>
        </bottom>
      </border>
    </ndxf>
  </rcc>
  <rfmt sheetId="1" sqref="C738" start="0" length="0">
    <dxf>
      <fill>
        <patternFill patternType="solid">
          <bgColor rgb="FF92D05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cc rId="2694" sId="1" odxf="1" dxf="1">
    <nc r="B739" t="inlineStr">
      <is>
        <t>67 0 00 88890</t>
      </is>
    </nc>
    <odxf>
      <numFmt numFmtId="0" formatCode="General"/>
      <fill>
        <patternFill patternType="none">
          <bgColor indexed="65"/>
        </patternFill>
      </fill>
      <border outline="0">
        <bottom/>
      </border>
    </odxf>
    <ndxf>
      <numFmt numFmtId="30" formatCode="@"/>
      <fill>
        <patternFill patternType="solid">
          <bgColor rgb="FF92D050"/>
        </patternFill>
      </fill>
      <border outline="0">
        <bottom style="thin">
          <color indexed="64"/>
        </bottom>
      </border>
    </ndxf>
  </rcc>
  <rcc rId="2695" sId="1" odxf="1" dxf="1" numFmtId="30">
    <nc r="C739">
      <v>800</v>
    </nc>
    <odxf>
      <fill>
        <patternFill patternType="none">
          <bgColor indexed="65"/>
        </patternFill>
      </fill>
      <border outline="0">
        <left/>
        <top/>
        <bottom/>
      </border>
    </odxf>
    <ndxf>
      <fill>
        <patternFill patternType="solid">
          <bgColor rgb="FF92D05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2696" sId="1" odxf="1" dxf="1">
    <nc r="B740" t="inlineStr">
      <is>
        <t>67 0 00 88890</t>
      </is>
    </nc>
    <odxf>
      <numFmt numFmtId="0" formatCode="General"/>
      <fill>
        <patternFill patternType="none">
          <bgColor indexed="65"/>
        </patternFill>
      </fill>
      <border outline="0">
        <bottom/>
      </border>
    </odxf>
    <ndxf>
      <numFmt numFmtId="30" formatCode="@"/>
      <fill>
        <patternFill patternType="solid">
          <bgColor rgb="FF92D050"/>
        </patternFill>
      </fill>
      <border outline="0">
        <bottom style="thin">
          <color indexed="64"/>
        </bottom>
      </border>
    </ndxf>
  </rcc>
  <rcc rId="2697" sId="1" odxf="1" dxf="1">
    <nc r="C740" t="inlineStr">
      <is>
        <t>870</t>
      </is>
    </nc>
    <odxf>
      <fill>
        <patternFill patternType="none">
          <bgColor indexed="65"/>
        </patternFill>
      </fill>
      <border outline="0">
        <left/>
        <top/>
        <bottom/>
      </border>
    </odxf>
    <ndxf>
      <fill>
        <patternFill patternType="solid">
          <bgColor rgb="FF92D050"/>
        </patternFill>
      </fill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  <rcc rId="2698" sId="1" numFmtId="34">
    <oc r="D737">
      <v>13276676.67</v>
    </oc>
    <nc r="D737">
      <v>12612842.84</v>
    </nc>
  </rcc>
  <rcc rId="2699" sId="1" numFmtId="34">
    <nc r="D740">
      <v>663833.82999999996</v>
    </nc>
  </rcc>
  <rcc rId="2700" sId="1">
    <nc r="D738">
      <f>D739</f>
    </nc>
  </rcc>
  <rcc rId="2701" sId="1">
    <nc r="D739">
      <f>D740</f>
    </nc>
  </rcc>
  <rcc rId="2702" sId="1">
    <nc r="E738">
      <f>E739</f>
    </nc>
  </rcc>
  <rcc rId="2703" sId="1">
    <nc r="F738">
      <f>F739</f>
    </nc>
  </rcc>
  <rcc rId="2704" sId="1">
    <nc r="E739">
      <f>E740</f>
    </nc>
  </rcc>
  <rcc rId="2705" sId="1">
    <nc r="F739">
      <f>F740</f>
    </nc>
  </rcc>
  <rcc rId="2706" sId="1" numFmtId="34">
    <nc r="E740">
      <v>0</v>
    </nc>
  </rcc>
  <rcc rId="2707" sId="1" numFmtId="34">
    <nc r="F740">
      <v>0</v>
    </nc>
  </rcc>
  <rcc rId="2708" sId="1">
    <oc r="D734">
      <f>D735</f>
    </oc>
    <nc r="D734">
      <f>D735+D738</f>
    </nc>
  </rcc>
  <rcc rId="2709" sId="1">
    <oc r="E734">
      <f>E735</f>
    </oc>
    <nc r="E734">
      <f>E735+E738</f>
    </nc>
  </rcc>
  <rcc rId="2710" sId="1">
    <oc r="F734">
      <f>F735</f>
    </oc>
    <nc r="F734">
      <f>F735+F738</f>
    </nc>
  </rcc>
  <rfmt sheetId="1" sqref="D738:D740" start="0" length="0">
    <dxf>
      <border>
        <left style="thin">
          <color indexed="64"/>
        </left>
      </border>
    </dxf>
  </rfmt>
  <rfmt sheetId="1" sqref="F738:F740" start="0" length="0">
    <dxf>
      <border>
        <right style="thin">
          <color indexed="64"/>
        </right>
      </border>
    </dxf>
  </rfmt>
  <rfmt sheetId="1" sqref="D740:F740" start="0" length="0">
    <dxf>
      <border>
        <bottom style="thin">
          <color indexed="64"/>
        </bottom>
      </border>
    </dxf>
  </rfmt>
  <rfmt sheetId="1" sqref="D738:F74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1" sqref="A738:C740">
    <dxf>
      <fill>
        <patternFill patternType="none">
          <bgColor auto="1"/>
        </patternFill>
      </fill>
    </dxf>
  </rfmt>
  <rcv guid="{9A752CC5-36AC-48BE-BF4B-1A38C4015906}" action="delete"/>
  <rdn rId="0" localSheetId="1" customView="1" name="Z_9A752CC5_36AC_48BE_BF4B_1A38C4015906_.wvu.FilterData" hidden="1" oldHidden="1">
    <formula>'программы '!$A$1:$A$757</formula>
    <oldFormula>'программы '!$A$1:$A$757</oldFormula>
  </rdn>
  <rcv guid="{9A752CC5-36AC-48BE-BF4B-1A38C4015906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2687" sId="1" numFmtId="34">
    <oc r="D598">
      <v>16008611.709999999</v>
    </oc>
    <nc r="D598">
      <f>16008611.71-2100000</f>
    </nc>
  </rcc>
  <rcv guid="{9A752CC5-36AC-48BE-BF4B-1A38C4015906}" action="delete"/>
  <rdn rId="0" localSheetId="1" customView="1" name="Z_9A752CC5_36AC_48BE_BF4B_1A38C4015906_.wvu.FilterData" hidden="1" oldHidden="1">
    <formula>'программы '!$A$1:$A$754</formula>
    <oldFormula>'программы '!$A$1:$A$754</oldFormula>
  </rdn>
  <rcv guid="{9A752CC5-36AC-48BE-BF4B-1A38C4015906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c rId="2598" sId="1">
    <oc r="B658" t="inlineStr">
      <is>
        <t>59 0 00 83690</t>
      </is>
    </oc>
    <nc r="B658" t="inlineStr">
      <is>
        <t>59 0 00 83691</t>
      </is>
    </nc>
  </rcc>
  <rcc rId="2599" sId="1">
    <oc r="B659" t="inlineStr">
      <is>
        <t>59 0 00 83690</t>
      </is>
    </oc>
    <nc r="B659" t="inlineStr">
      <is>
        <t>59 0 00 83691</t>
      </is>
    </nc>
  </rcc>
  <rcc rId="2600" sId="1">
    <oc r="B660" t="inlineStr">
      <is>
        <t>59 0 00 83690</t>
      </is>
    </oc>
    <nc r="B660" t="inlineStr">
      <is>
        <t>59 0 00 83691</t>
      </is>
    </nc>
  </rcc>
  <rfmt sheetId="1" sqref="B621:D621" start="0" length="0">
    <dxf>
      <border>
        <bottom style="thin">
          <color indexed="64"/>
        </bottom>
      </border>
    </dxf>
  </rfmt>
  <rfmt sheetId="1" sqref="B621:D62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rc rId="2601" sId="1" ref="A101:XFD104" action="insertRow">
    <undo index="0" exp="area" ref3D="1" dr="$A$222:$XFD$226" dn="Z_30E81E54_DD45_4653_9DCD_548F6723F554_.wvu.Rows" sId="1"/>
  </rrc>
  <rrc rId="2602" sId="1" ref="A101:XFD104" action="insertRow">
    <undo index="0" exp="area" ref3D="1" dr="$A$226:$XFD$230" dn="Z_30E81E54_DD45_4653_9DCD_548F6723F554_.wvu.Rows" sId="1"/>
  </rrc>
  <rcc rId="2603" sId="1" odxf="1" dxf="1">
    <nc r="A101" t="inlineStr">
      <is>
        <t>Создание новых мест в общеобразовательных организациях, расположенных в сельской местности и поселках городского типа</t>
      </is>
    </nc>
    <odxf>
      <font>
        <name val="Times New Roman"/>
        <scheme val="none"/>
      </font>
      <fill>
        <patternFill patternType="none">
          <bgColor indexed="65"/>
        </patternFill>
      </fill>
      <alignment vertical="top" readingOrder="0"/>
      <border outline="0">
        <top style="thin">
          <color indexed="64"/>
        </top>
      </border>
    </odxf>
    <ndxf>
      <font>
        <color indexed="8"/>
        <name val="Times New Roman Cyr"/>
        <scheme val="none"/>
      </font>
      <fill>
        <patternFill patternType="solid">
          <bgColor indexed="13"/>
        </patternFill>
      </fill>
      <alignment vertical="center" readingOrder="0"/>
      <border outline="0">
        <top/>
      </border>
    </ndxf>
  </rcc>
  <rcc rId="2604" sId="1" odxf="1" dxf="1">
    <nc r="A102" t="inlineStr">
      <is>
        <t>Капитальные вложения в объекты государственной (муниципальной) собственности</t>
      </is>
    </nc>
    <odxf>
      <font>
        <name val="Times New Roman"/>
        <scheme val="none"/>
      </font>
      <fill>
        <patternFill patternType="none">
          <bgColor indexed="65"/>
        </patternFill>
      </fill>
      <alignment vertical="top" readingOrder="0"/>
      <border outline="0">
        <top style="thin">
          <color indexed="64"/>
        </top>
      </border>
    </odxf>
    <ndxf>
      <font>
        <name val="Times New Roman Cyr"/>
        <scheme val="none"/>
      </font>
      <fill>
        <patternFill patternType="solid">
          <bgColor indexed="13"/>
        </patternFill>
      </fill>
      <alignment vertical="center" readingOrder="0"/>
      <border outline="0">
        <top/>
      </border>
    </ndxf>
  </rcc>
  <rcc rId="2605" sId="1" odxf="1" dxf="1">
    <nc r="A103" t="inlineStr">
      <is>
        <t>Бюджетные инвестиции</t>
      </is>
    </nc>
    <odxf>
      <font>
        <name val="Times New Roman"/>
        <scheme val="none"/>
      </font>
      <fill>
        <patternFill patternType="none">
          <bgColor indexed="65"/>
        </patternFill>
      </fill>
      <alignment vertical="top" readingOrder="0"/>
      <border outline="0">
        <top style="thin">
          <color indexed="64"/>
        </top>
      </border>
    </odxf>
    <ndxf>
      <font>
        <name val="Times New Roman Cyr"/>
        <scheme val="none"/>
      </font>
      <fill>
        <patternFill patternType="solid">
          <bgColor indexed="13"/>
        </patternFill>
      </fill>
      <alignment vertical="center" readingOrder="0"/>
      <border outline="0">
        <top/>
      </border>
    </ndxf>
  </rcc>
  <rcc rId="2606" sId="1" odxf="1" dxf="1">
    <nc r="A104" t="inlineStr">
      <is>
        <t>Бюджетные инвестиции в объекты капитального строительства государственной (муниципальной) собственности</t>
      </is>
    </nc>
    <odxf>
      <font>
        <name val="Times New Roman"/>
        <scheme val="none"/>
      </font>
      <fill>
        <patternFill patternType="none">
          <bgColor indexed="65"/>
        </patternFill>
      </fill>
      <alignment vertical="top" readingOrder="0"/>
      <border outline="0">
        <top style="thin">
          <color indexed="64"/>
        </top>
      </border>
    </odxf>
    <ndxf>
      <font>
        <name val="Times New Roman Cyr"/>
        <scheme val="none"/>
      </font>
      <fill>
        <patternFill patternType="solid">
          <bgColor indexed="13"/>
        </patternFill>
      </fill>
      <alignment vertical="center" readingOrder="0"/>
      <border outline="0">
        <top/>
      </border>
    </ndxf>
  </rcc>
  <rcc rId="2607" sId="1" odxf="1" dxf="1">
    <nc r="B101" t="inlineStr">
      <is>
        <t>03 2 Е1 52301</t>
      </is>
    </nc>
    <odxf>
      <font>
        <name val="Times New Roman"/>
        <scheme val="none"/>
      </font>
      <fill>
        <patternFill patternType="none">
          <bgColor indexed="65"/>
        </patternFill>
      </fill>
      <alignment vertical="top" readingOrder="0"/>
      <border outline="0">
        <left style="thin">
          <color indexed="64"/>
        </left>
        <right style="thin">
          <color indexed="64"/>
        </right>
      </border>
    </odxf>
    <ndxf>
      <font>
        <name val="Times New Roman Cyr"/>
        <scheme val="none"/>
      </font>
      <fill>
        <patternFill patternType="solid">
          <bgColor indexed="13"/>
        </patternFill>
      </fill>
      <alignment vertical="center" readingOrder="0"/>
      <border outline="0">
        <left/>
        <right/>
      </border>
    </ndxf>
  </rcc>
  <rfmt sheetId="1" sqref="C101" start="0" length="0">
    <dxf>
      <font>
        <name val="Times New Roman Cyr"/>
        <scheme val="none"/>
      </font>
      <fill>
        <patternFill patternType="solid">
          <bgColor indexed="13"/>
        </patternFill>
      </fill>
      <alignment vertical="center" readingOrder="0"/>
      <border outline="0">
        <top/>
      </border>
    </dxf>
  </rfmt>
  <rcc rId="2608" sId="1" odxf="1" dxf="1">
    <nc r="B102" t="inlineStr">
      <is>
        <t>03 2 Е1 52301</t>
      </is>
    </nc>
    <odxf>
      <font>
        <name val="Times New Roman"/>
        <scheme val="none"/>
      </font>
      <fill>
        <patternFill patternType="none">
          <bgColor indexed="65"/>
        </patternFill>
      </fill>
      <alignment vertical="top" readingOrder="0"/>
      <border outline="0">
        <left style="thin">
          <color indexed="64"/>
        </left>
        <right style="thin">
          <color indexed="64"/>
        </right>
      </border>
    </odxf>
    <ndxf>
      <font>
        <name val="Times New Roman Cyr"/>
        <scheme val="none"/>
      </font>
      <fill>
        <patternFill patternType="solid">
          <bgColor indexed="13"/>
        </patternFill>
      </fill>
      <alignment vertical="center" readingOrder="0"/>
      <border outline="0">
        <left/>
        <right/>
      </border>
    </ndxf>
  </rcc>
  <rcc rId="2609" sId="1" odxf="1" dxf="1">
    <nc r="C102">
      <v>400</v>
    </nc>
    <odxf>
      <font>
        <name val="Times New Roman"/>
        <scheme val="none"/>
      </font>
      <fill>
        <patternFill patternType="none">
          <bgColor indexed="65"/>
        </patternFill>
      </fill>
      <alignment vertical="top" readingOrder="0"/>
      <border outline="0">
        <top style="thin">
          <color indexed="64"/>
        </top>
      </border>
    </odxf>
    <ndxf>
      <font>
        <name val="Times New Roman Cyr"/>
        <scheme val="none"/>
      </font>
      <fill>
        <patternFill patternType="solid">
          <bgColor indexed="13"/>
        </patternFill>
      </fill>
      <alignment vertical="center" readingOrder="0"/>
      <border outline="0">
        <top/>
      </border>
    </ndxf>
  </rcc>
  <rcc rId="2610" sId="1" odxf="1" dxf="1">
    <nc r="B103" t="inlineStr">
      <is>
        <t>03 2 Е1 52301</t>
      </is>
    </nc>
    <odxf>
      <font>
        <name val="Times New Roman"/>
        <scheme val="none"/>
      </font>
      <fill>
        <patternFill patternType="none">
          <bgColor indexed="65"/>
        </patternFill>
      </fill>
      <alignment vertical="top" readingOrder="0"/>
      <border outline="0">
        <left style="thin">
          <color indexed="64"/>
        </left>
        <right style="thin">
          <color indexed="64"/>
        </right>
      </border>
    </odxf>
    <ndxf>
      <font>
        <name val="Times New Roman Cyr"/>
        <scheme val="none"/>
      </font>
      <fill>
        <patternFill patternType="solid">
          <bgColor indexed="13"/>
        </patternFill>
      </fill>
      <alignment vertical="center" readingOrder="0"/>
      <border outline="0">
        <left/>
        <right/>
      </border>
    </ndxf>
  </rcc>
  <rcc rId="2611" sId="1" odxf="1" dxf="1">
    <nc r="C103">
      <v>410</v>
    </nc>
    <odxf>
      <font>
        <name val="Times New Roman"/>
        <scheme val="none"/>
      </font>
      <fill>
        <patternFill patternType="none">
          <bgColor indexed="65"/>
        </patternFill>
      </fill>
      <alignment vertical="top" readingOrder="0"/>
      <border outline="0">
        <top style="thin">
          <color indexed="64"/>
        </top>
      </border>
    </odxf>
    <ndxf>
      <font>
        <name val="Times New Roman Cyr"/>
        <scheme val="none"/>
      </font>
      <fill>
        <patternFill patternType="solid">
          <bgColor indexed="13"/>
        </patternFill>
      </fill>
      <alignment vertical="center" readingOrder="0"/>
      <border outline="0">
        <top/>
      </border>
    </ndxf>
  </rcc>
  <rcc rId="2612" sId="1" odxf="1" dxf="1">
    <nc r="B104" t="inlineStr">
      <is>
        <t>03 2 Е1 52301</t>
      </is>
    </nc>
    <odxf>
      <font>
        <name val="Times New Roman"/>
        <scheme val="none"/>
      </font>
      <fill>
        <patternFill patternType="none">
          <bgColor indexed="65"/>
        </patternFill>
      </fill>
      <alignment vertical="top" readingOrder="0"/>
      <border outline="0">
        <left style="thin">
          <color indexed="64"/>
        </left>
        <right style="thin">
          <color indexed="64"/>
        </right>
      </border>
    </odxf>
    <ndxf>
      <font>
        <name val="Times New Roman Cyr"/>
        <scheme val="none"/>
      </font>
      <fill>
        <patternFill patternType="solid">
          <bgColor indexed="13"/>
        </patternFill>
      </fill>
      <alignment vertical="center" readingOrder="0"/>
      <border outline="0">
        <left/>
        <right/>
      </border>
    </ndxf>
  </rcc>
  <rcc rId="2613" sId="1" odxf="1" dxf="1">
    <nc r="C104">
      <v>414</v>
    </nc>
    <odxf>
      <font>
        <name val="Times New Roman"/>
        <scheme val="none"/>
      </font>
      <fill>
        <patternFill patternType="none">
          <bgColor indexed="65"/>
        </patternFill>
      </fill>
      <alignment vertical="top" readingOrder="0"/>
      <border outline="0">
        <top style="thin">
          <color indexed="64"/>
        </top>
      </border>
    </odxf>
    <ndxf>
      <font>
        <name val="Times New Roman Cyr"/>
        <scheme val="none"/>
      </font>
      <fill>
        <patternFill patternType="solid">
          <bgColor indexed="13"/>
        </patternFill>
      </fill>
      <alignment vertical="center" readingOrder="0"/>
      <border outline="0">
        <top/>
      </border>
    </ndxf>
  </rcc>
  <rcc rId="2614" sId="1" numFmtId="34">
    <nc r="D104">
      <v>84058344.049999997</v>
    </nc>
  </rcc>
  <rcc rId="2615" sId="1">
    <nc r="D101">
      <f>D102</f>
    </nc>
  </rcc>
  <rcc rId="2616" sId="1">
    <nc r="D102">
      <f>D103</f>
    </nc>
  </rcc>
  <rcc rId="2617" sId="1">
    <nc r="D103">
      <f>D104</f>
    </nc>
  </rcc>
  <rcc rId="2618" sId="1">
    <nc r="E101">
      <f>E102</f>
    </nc>
  </rcc>
  <rcc rId="2619" sId="1">
    <nc r="E102">
      <f>E103</f>
    </nc>
  </rcc>
  <rcc rId="2620" sId="1">
    <nc r="E103">
      <f>E104</f>
    </nc>
  </rcc>
  <rcc rId="2621" sId="1">
    <nc r="F101">
      <f>F102</f>
    </nc>
  </rcc>
  <rcc rId="2622" sId="1">
    <nc r="F102">
      <f>F103</f>
    </nc>
  </rcc>
  <rcc rId="2623" sId="1">
    <nc r="F103">
      <f>F104</f>
    </nc>
  </rcc>
  <rcc rId="2624" sId="1" numFmtId="34">
    <nc r="E104">
      <v>0</v>
    </nc>
  </rcc>
  <rcc rId="2625" sId="1" numFmtId="34">
    <nc r="F104">
      <v>0</v>
    </nc>
  </rcc>
  <rcc rId="2626" sId="1" odxf="1" dxf="1">
    <nc r="A105" t="inlineStr">
      <is>
        <t>Создание новых мест в общеобразовательных организациях, расположенных в сельской местности и поселках городского типа</t>
      </is>
    </nc>
    <odxf>
      <font>
        <name val="Times New Roman"/>
        <scheme val="none"/>
      </font>
      <fill>
        <patternFill patternType="none">
          <bgColor indexed="65"/>
        </patternFill>
      </fill>
      <alignment vertical="top" readingOrder="0"/>
      <border outline="0">
        <top style="thin">
          <color indexed="64"/>
        </top>
      </border>
    </odxf>
    <ndxf>
      <font>
        <color indexed="8"/>
        <name val="Times New Roman Cyr"/>
        <scheme val="none"/>
      </font>
      <fill>
        <patternFill patternType="solid">
          <bgColor indexed="13"/>
        </patternFill>
      </fill>
      <alignment vertical="center" readingOrder="0"/>
      <border outline="0">
        <top/>
      </border>
    </ndxf>
  </rcc>
  <rcc rId="2627" sId="1" odxf="1" dxf="1">
    <nc r="A106" t="inlineStr">
      <is>
        <t>Капитальные вложения в объекты государственной (муниципальной) собственности</t>
      </is>
    </nc>
    <odxf>
      <font>
        <name val="Times New Roman"/>
        <scheme val="none"/>
      </font>
      <fill>
        <patternFill patternType="none">
          <bgColor indexed="65"/>
        </patternFill>
      </fill>
      <alignment vertical="top" readingOrder="0"/>
      <border outline="0">
        <top style="thin">
          <color indexed="64"/>
        </top>
      </border>
    </odxf>
    <ndxf>
      <font>
        <name val="Times New Roman Cyr"/>
        <scheme val="none"/>
      </font>
      <fill>
        <patternFill patternType="solid">
          <bgColor indexed="13"/>
        </patternFill>
      </fill>
      <alignment vertical="center" readingOrder="0"/>
      <border outline="0">
        <top/>
      </border>
    </ndxf>
  </rcc>
  <rcc rId="2628" sId="1" odxf="1" dxf="1">
    <nc r="A107" t="inlineStr">
      <is>
        <t>Бюджетные инвестиции</t>
      </is>
    </nc>
    <odxf>
      <font>
        <name val="Times New Roman"/>
        <scheme val="none"/>
      </font>
      <fill>
        <patternFill patternType="none">
          <bgColor indexed="65"/>
        </patternFill>
      </fill>
      <alignment vertical="top" readingOrder="0"/>
      <border outline="0">
        <top style="thin">
          <color indexed="64"/>
        </top>
      </border>
    </odxf>
    <ndxf>
      <font>
        <name val="Times New Roman Cyr"/>
        <scheme val="none"/>
      </font>
      <fill>
        <patternFill patternType="solid">
          <bgColor indexed="13"/>
        </patternFill>
      </fill>
      <alignment vertical="center" readingOrder="0"/>
      <border outline="0">
        <top/>
      </border>
    </ndxf>
  </rcc>
  <rcc rId="2629" sId="1" odxf="1" dxf="1">
    <nc r="A108" t="inlineStr">
      <is>
        <t>Бюджетные инвестиции в объекты капитального строительства государственной (муниципальной) собственности</t>
      </is>
    </nc>
    <odxf>
      <font>
        <name val="Times New Roman"/>
        <scheme val="none"/>
      </font>
      <fill>
        <patternFill patternType="none">
          <bgColor indexed="65"/>
        </patternFill>
      </fill>
      <alignment vertical="top" readingOrder="0"/>
      <border outline="0">
        <top style="thin">
          <color indexed="64"/>
        </top>
      </border>
    </odxf>
    <ndxf>
      <font>
        <name val="Times New Roman Cyr"/>
        <scheme val="none"/>
      </font>
      <fill>
        <patternFill patternType="solid">
          <bgColor indexed="13"/>
        </patternFill>
      </fill>
      <alignment vertical="center" readingOrder="0"/>
      <border outline="0">
        <top/>
      </border>
    </ndxf>
  </rcc>
  <rcc rId="2630" sId="1" odxf="1" dxf="1">
    <nc r="B105" t="inlineStr">
      <is>
        <t>03 2 Е1 S2301</t>
      </is>
    </nc>
    <odxf>
      <font>
        <name val="Times New Roman"/>
        <scheme val="none"/>
      </font>
      <fill>
        <patternFill patternType="none">
          <bgColor indexed="65"/>
        </patternFill>
      </fill>
      <alignment vertical="top" readingOrder="0"/>
      <border outline="0">
        <left style="thin">
          <color indexed="64"/>
        </left>
        <right style="thin">
          <color indexed="64"/>
        </right>
      </border>
    </odxf>
    <ndxf>
      <font>
        <name val="Times New Roman Cyr"/>
        <scheme val="none"/>
      </font>
      <fill>
        <patternFill patternType="solid">
          <bgColor indexed="13"/>
        </patternFill>
      </fill>
      <alignment vertical="center" readingOrder="0"/>
      <border outline="0">
        <left/>
        <right/>
      </border>
    </ndxf>
  </rcc>
  <rfmt sheetId="1" sqref="C105" start="0" length="0">
    <dxf>
      <font>
        <name val="Times New Roman Cyr"/>
        <scheme val="none"/>
      </font>
      <fill>
        <patternFill patternType="solid">
          <bgColor indexed="13"/>
        </patternFill>
      </fill>
      <alignment vertical="center" readingOrder="0"/>
      <border outline="0">
        <top/>
      </border>
    </dxf>
  </rfmt>
  <rcc rId="2631" sId="1" odxf="1" dxf="1">
    <nc r="B106" t="inlineStr">
      <is>
        <t>03 2 Е1 S2301</t>
      </is>
    </nc>
    <odxf>
      <font>
        <name val="Times New Roman"/>
        <scheme val="none"/>
      </font>
      <fill>
        <patternFill patternType="none">
          <bgColor indexed="65"/>
        </patternFill>
      </fill>
      <alignment vertical="top" readingOrder="0"/>
      <border outline="0">
        <left style="thin">
          <color indexed="64"/>
        </left>
        <right style="thin">
          <color indexed="64"/>
        </right>
      </border>
    </odxf>
    <ndxf>
      <font>
        <name val="Times New Roman Cyr"/>
        <scheme val="none"/>
      </font>
      <fill>
        <patternFill patternType="solid">
          <bgColor indexed="13"/>
        </patternFill>
      </fill>
      <alignment vertical="center" readingOrder="0"/>
      <border outline="0">
        <left/>
        <right/>
      </border>
    </ndxf>
  </rcc>
  <rcc rId="2632" sId="1" odxf="1" dxf="1">
    <nc r="C106">
      <v>400</v>
    </nc>
    <odxf>
      <font>
        <name val="Times New Roman"/>
        <scheme val="none"/>
      </font>
      <fill>
        <patternFill patternType="none">
          <bgColor indexed="65"/>
        </patternFill>
      </fill>
      <alignment vertical="top" readingOrder="0"/>
      <border outline="0">
        <top style="thin">
          <color indexed="64"/>
        </top>
      </border>
    </odxf>
    <ndxf>
      <font>
        <name val="Times New Roman Cyr"/>
        <scheme val="none"/>
      </font>
      <fill>
        <patternFill patternType="solid">
          <bgColor indexed="13"/>
        </patternFill>
      </fill>
      <alignment vertical="center" readingOrder="0"/>
      <border outline="0">
        <top/>
      </border>
    </ndxf>
  </rcc>
  <rcc rId="2633" sId="1" odxf="1" dxf="1">
    <nc r="B107" t="inlineStr">
      <is>
        <t>03 2 Е1 S2301</t>
      </is>
    </nc>
    <odxf>
      <font>
        <name val="Times New Roman"/>
        <scheme val="none"/>
      </font>
      <fill>
        <patternFill patternType="none">
          <bgColor indexed="65"/>
        </patternFill>
      </fill>
      <alignment vertical="top" readingOrder="0"/>
      <border outline="0">
        <left style="thin">
          <color indexed="64"/>
        </left>
        <right style="thin">
          <color indexed="64"/>
        </right>
      </border>
    </odxf>
    <ndxf>
      <font>
        <name val="Times New Roman Cyr"/>
        <scheme val="none"/>
      </font>
      <fill>
        <patternFill patternType="solid">
          <bgColor indexed="13"/>
        </patternFill>
      </fill>
      <alignment vertical="center" readingOrder="0"/>
      <border outline="0">
        <left/>
        <right/>
      </border>
    </ndxf>
  </rcc>
  <rcc rId="2634" sId="1" odxf="1" dxf="1">
    <nc r="C107">
      <v>410</v>
    </nc>
    <odxf>
      <font>
        <name val="Times New Roman"/>
        <scheme val="none"/>
      </font>
      <fill>
        <patternFill patternType="none">
          <bgColor indexed="65"/>
        </patternFill>
      </fill>
      <alignment vertical="top" readingOrder="0"/>
      <border outline="0">
        <top style="thin">
          <color indexed="64"/>
        </top>
      </border>
    </odxf>
    <ndxf>
      <font>
        <name val="Times New Roman Cyr"/>
        <scheme val="none"/>
      </font>
      <fill>
        <patternFill patternType="solid">
          <bgColor indexed="13"/>
        </patternFill>
      </fill>
      <alignment vertical="center" readingOrder="0"/>
      <border outline="0">
        <top/>
      </border>
    </ndxf>
  </rcc>
  <rcc rId="2635" sId="1" odxf="1" dxf="1">
    <nc r="B108" t="inlineStr">
      <is>
        <t>03 2 Е1 S2301</t>
      </is>
    </nc>
    <odxf>
      <font>
        <name val="Times New Roman"/>
        <scheme val="none"/>
      </font>
      <fill>
        <patternFill patternType="none">
          <bgColor indexed="65"/>
        </patternFill>
      </fill>
      <alignment vertical="top" readingOrder="0"/>
      <border outline="0">
        <left style="thin">
          <color indexed="64"/>
        </left>
        <right style="thin">
          <color indexed="64"/>
        </right>
      </border>
    </odxf>
    <ndxf>
      <font>
        <name val="Times New Roman Cyr"/>
        <scheme val="none"/>
      </font>
      <fill>
        <patternFill patternType="solid">
          <bgColor indexed="13"/>
        </patternFill>
      </fill>
      <alignment vertical="center" readingOrder="0"/>
      <border outline="0">
        <left/>
        <right/>
      </border>
    </ndxf>
  </rcc>
  <rcc rId="2636" sId="1" odxf="1" dxf="1">
    <nc r="C108">
      <v>414</v>
    </nc>
    <odxf>
      <font>
        <name val="Times New Roman"/>
        <scheme val="none"/>
      </font>
      <fill>
        <patternFill patternType="none">
          <bgColor indexed="65"/>
        </patternFill>
      </fill>
      <alignment vertical="top" readingOrder="0"/>
      <border outline="0">
        <top style="thin">
          <color indexed="64"/>
        </top>
      </border>
    </odxf>
    <ndxf>
      <font>
        <name val="Times New Roman Cyr"/>
        <scheme val="none"/>
      </font>
      <fill>
        <patternFill patternType="solid">
          <bgColor indexed="13"/>
        </patternFill>
      </fill>
      <alignment vertical="center" readingOrder="0"/>
      <border outline="0">
        <top/>
      </border>
    </ndxf>
  </rcc>
  <rcc rId="2637" sId="1" numFmtId="34">
    <oc r="D100">
      <f>258163.03+111540.89</f>
    </oc>
    <nc r="D100">
      <v>0</v>
    </nc>
  </rcc>
  <rcc rId="2638" sId="1" numFmtId="34">
    <oc r="E100">
      <f>271767.9+97936.02</f>
    </oc>
    <nc r="E100">
      <v>0</v>
    </nc>
  </rcc>
  <rrc rId="2639" sId="1" ref="A97:XFD97" action="deleteRow">
    <undo index="0" exp="ref" v="1" dr="F97" r="F96" sId="1"/>
    <undo index="0" exp="ref" v="1" dr="E97" r="E96" sId="1"/>
    <undo index="0" exp="ref" v="1" dr="D97" r="D96" sId="1"/>
    <undo index="0" exp="area" ref3D="1" dr="$A$230:$XFD$234" dn="Z_30E81E54_DD45_4653_9DCD_548F6723F554_.wvu.Rows" sId="1"/>
    <rfmt sheetId="1" xfDxf="1" sqref="A97:XFD97" start="0" length="0">
      <dxf>
        <font>
          <name val="Times New Roman"/>
          <scheme val="none"/>
        </font>
        <alignment vertical="center" readingOrder="0"/>
      </dxf>
    </rfmt>
    <rcc rId="0" sId="1" dxf="1">
      <nc r="A97" t="inlineStr">
        <is>
          <t>Создание новых мест в общеобразовательных организациях, расположенных в сельской местности и поселках городского типа</t>
        </is>
      </nc>
      <ndxf>
        <alignment horizontal="justify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7" t="inlineStr">
        <is>
          <t>03 2 Е1 52300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97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D97">
        <f>D98</f>
      </nc>
      <n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7">
        <f>E98</f>
      </nc>
      <n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97">
        <f>F98</f>
      </nc>
      <n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640" sId="1" ref="A97:XFD97" action="deleteRow">
    <undo index="0" exp="area" ref3D="1" dr="$A$229:$XFD$233" dn="Z_30E81E54_DD45_4653_9DCD_548F6723F554_.wvu.Rows" sId="1"/>
    <rfmt sheetId="1" xfDxf="1" sqref="A97:XFD97" start="0" length="0">
      <dxf>
        <font>
          <name val="Times New Roman"/>
          <scheme val="none"/>
        </font>
        <alignment vertical="center" readingOrder="0"/>
      </dxf>
    </rfmt>
    <rcc rId="0" sId="1" dxf="1">
      <nc r="A97" t="inlineStr">
        <is>
          <t>Капитальные вложения в объекты государственной (муниципальной) собственности</t>
        </is>
      </nc>
      <ndxf>
        <alignment horizontal="justify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7" t="inlineStr">
        <is>
          <t>03 2 Е1 52300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7">
        <v>400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97">
        <f>D98</f>
      </nc>
      <n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7">
        <f>E98</f>
      </nc>
      <n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97">
        <f>F98</f>
      </nc>
      <n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641" sId="1" ref="A97:XFD97" action="deleteRow">
    <undo index="0" exp="area" ref3D="1" dr="$A$228:$XFD$232" dn="Z_30E81E54_DD45_4653_9DCD_548F6723F554_.wvu.Rows" sId="1"/>
    <rfmt sheetId="1" xfDxf="1" sqref="A97:XFD97" start="0" length="0">
      <dxf>
        <font>
          <name val="Times New Roman"/>
          <scheme val="none"/>
        </font>
        <alignment vertical="center" readingOrder="0"/>
      </dxf>
    </rfmt>
    <rcc rId="0" sId="1" dxf="1">
      <nc r="A97" t="inlineStr">
        <is>
          <t>Бюджетные инвестиции</t>
        </is>
      </nc>
      <ndxf>
        <alignment horizontal="justify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7" t="inlineStr">
        <is>
          <t>03 2 Е1 52300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7">
        <v>410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97">
        <f>D98</f>
      </nc>
      <n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7">
        <f>E98</f>
      </nc>
      <n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97">
        <f>F98</f>
      </nc>
      <n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rc rId="2642" sId="1" ref="A97:XFD97" action="deleteRow">
    <undo index="0" exp="area" ref3D="1" dr="$A$227:$XFD$231" dn="Z_30E81E54_DD45_4653_9DCD_548F6723F554_.wvu.Rows" sId="1"/>
    <rfmt sheetId="1" xfDxf="1" sqref="A97:XFD97" start="0" length="0">
      <dxf>
        <font>
          <name val="Times New Roman"/>
          <scheme val="none"/>
        </font>
        <alignment vertical="center" readingOrder="0"/>
      </dxf>
    </rfmt>
    <rcc rId="0" sId="1" dxf="1">
      <nc r="A97" t="inlineStr">
        <is>
          <t>Бюджетные инвестиции в объекты капитального строительства государственной (муниципальной) собственности</t>
        </is>
      </nc>
      <ndxf>
        <alignment horizontal="justify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97" t="inlineStr">
        <is>
          <t>03 2 Е1 52300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97">
        <v>414</v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D97">
        <v>0</v>
      </nc>
      <n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97">
        <v>0</v>
      </nc>
      <n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F97">
        <v>0</v>
      </nc>
      <n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2643" sId="1">
    <oc r="D96">
      <f>#REF!</f>
    </oc>
    <nc r="D96">
      <f>D97+D101</f>
    </nc>
  </rcc>
  <rcc rId="2644" sId="1">
    <oc r="E96">
      <f>#REF!</f>
    </oc>
    <nc r="E96">
      <f>E97+E101</f>
    </nc>
  </rcc>
  <rcc rId="2645" sId="1">
    <oc r="F96">
      <f>#REF!</f>
    </oc>
    <nc r="F96">
      <f>F97+F101</f>
    </nc>
  </rcc>
  <rfmt sheetId="1" sqref="D104" start="0" length="0">
    <dxf>
      <numFmt numFmtId="167" formatCode="_(* #,##0.00_);_(* \(#,##0.00\);_(* &quot;-&quot;??_);_(@_)"/>
      <fill>
        <patternFill patternType="solid">
          <bgColor indexed="13"/>
        </patternFill>
      </fill>
      <alignment horizontal="center" readingOrder="0"/>
    </dxf>
  </rfmt>
  <rcc rId="2646" sId="1" numFmtId="34">
    <nc r="D104">
      <v>85139959.870000005</v>
    </nc>
  </rcc>
  <rcc rId="2647" sId="1" numFmtId="34">
    <nc r="E104">
      <v>369703.92</v>
    </nc>
  </rcc>
  <rcc rId="2648" sId="1">
    <nc r="D101">
      <f>D102</f>
    </nc>
  </rcc>
  <rcc rId="2649" sId="1">
    <nc r="D102">
      <f>D103</f>
    </nc>
  </rcc>
  <rcc rId="2650" sId="1">
    <nc r="D103">
      <f>D104</f>
    </nc>
  </rcc>
  <rcc rId="2651" sId="1">
    <nc r="E101">
      <f>E102</f>
    </nc>
  </rcc>
  <rcc rId="2652" sId="1">
    <nc r="F101">
      <f>F102</f>
    </nc>
  </rcc>
  <rcc rId="2653" sId="1">
    <nc r="E102">
      <f>E103</f>
    </nc>
  </rcc>
  <rcc rId="2654" sId="1">
    <nc r="F102">
      <f>F103</f>
    </nc>
  </rcc>
  <rcc rId="2655" sId="1">
    <nc r="E103">
      <f>E104</f>
    </nc>
  </rcc>
  <rcc rId="2656" sId="1">
    <nc r="F103">
      <f>F104</f>
    </nc>
  </rcc>
  <rfmt sheetId="1" sqref="A97:D104">
    <dxf>
      <fill>
        <patternFill patternType="none">
          <bgColor auto="1"/>
        </patternFill>
      </fill>
    </dxf>
  </rfmt>
  <rcc rId="2657" sId="1" numFmtId="34">
    <oc r="D205">
      <v>860030</v>
    </oc>
    <nc r="D205">
      <v>1824193.22</v>
    </nc>
  </rcc>
  <rrc rId="2658" sId="1" ref="A559:XFD563" action="insertRow"/>
  <rcc rId="2659" sId="1" odxf="1" dxf="1">
    <nc r="A559" t="inlineStr">
      <is>
    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    </is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2660" sId="1" odxf="1" dxf="1">
    <nc r="A560" t="inlineStr">
      <is>
        <t>Закупка товаров, работ и услуг для обеспечения государственных (муниципальных) нужд</t>
      </is>
    </nc>
    <odxf>
      <fill>
        <patternFill patternType="none">
          <bgColor indexed="65"/>
        </patternFill>
      </fill>
    </odxf>
    <ndxf>
      <fill>
        <patternFill patternType="solid">
          <bgColor indexed="9"/>
        </patternFill>
      </fill>
    </ndxf>
  </rcc>
  <rcc rId="2661" sId="1" odxf="1" dxf="1">
    <nc r="A561" t="inlineStr">
      <is>
        <t>Иные закупки товаров,работ и услуг для обеспечения государственных (муниципальных) нужд</t>
      </is>
    </nc>
    <odxf>
      <fill>
        <patternFill patternType="none">
          <bgColor indexed="65"/>
        </patternFill>
      </fill>
    </odxf>
    <ndxf>
      <fill>
        <patternFill patternType="solid">
          <bgColor indexed="9"/>
        </patternFill>
      </fill>
    </ndxf>
  </rcc>
  <rcc rId="2662" sId="1" odxf="1" dxf="1">
    <nc r="A562" t="inlineStr">
      <is>
        <t xml:space="preserve">Прочая закупка товаров, работ и услуг </t>
      </is>
    </nc>
    <odxf>
      <fill>
        <patternFill patternType="none">
          <bgColor indexed="65"/>
        </patternFill>
      </fill>
      <alignment wrapText="0" readingOrder="0"/>
    </odxf>
    <ndxf>
      <fill>
        <patternFill patternType="solid">
          <bgColor indexed="9"/>
        </patternFill>
      </fill>
      <alignment wrapText="1" readingOrder="0"/>
    </ndxf>
  </rcc>
  <rrc rId="2663" sId="1" ref="A563:XFD563" action="deleteRow">
    <rfmt sheetId="1" xfDxf="1" sqref="A563:XFD563" start="0" length="0">
      <dxf>
        <font>
          <name val="Times New Roman"/>
          <scheme val="none"/>
        </font>
      </dxf>
    </rfmt>
    <rfmt sheetId="1" sqref="A563" start="0" length="0">
      <dxf>
        <alignment horizontal="justify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563" start="0" length="0">
      <dxf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63" start="0" length="0">
      <dxf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="1" sqref="D563" start="0" length="0">
      <dxf>
        <numFmt numFmtId="164" formatCode="_-* #,##0.00_р_._-;\-* #,##0.00_р_._-;_-* &quot;-&quot;??_р_._-;_-@_-"/>
        <alignment vertical="center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="1" sqref="E563" start="0" length="0">
      <dxf>
        <numFmt numFmtId="164" formatCode="_-* #,##0.00_р_._-;\-* #,##0.00_р_._-;_-* &quot;-&quot;??_р_._-;_-@_-"/>
        <alignment vertical="center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="1" sqref="F563" start="0" length="0">
      <dxf>
        <numFmt numFmtId="164" formatCode="_-* #,##0.00_р_._-;\-* #,##0.00_р_._-;_-* &quot;-&quot;??_р_._-;_-@_-"/>
        <alignment vertical="center" readingOrder="0"/>
        <border outline="0">
          <right style="thin">
            <color indexed="64"/>
          </right>
          <bottom style="thin">
            <color indexed="64"/>
          </bottom>
        </border>
      </dxf>
    </rfmt>
  </rrc>
  <rcc rId="2664" sId="1" odxf="1" dxf="1">
    <nc r="B559" t="inlineStr">
      <is>
        <t>54 1 00 Л8690</t>
      </is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indexed="9"/>
        </patternFill>
      </fill>
      <border outline="0">
        <top/>
      </border>
    </ndxf>
  </rcc>
  <rfmt sheetId="1" sqref="C559" start="0" length="0">
    <dxf>
      <numFmt numFmtId="30" formatCode="@"/>
      <fill>
        <patternFill patternType="solid">
          <bgColor indexed="9"/>
        </patternFill>
      </fill>
    </dxf>
  </rfmt>
  <rcc rId="2665" sId="1" odxf="1" dxf="1">
    <nc r="B560" t="inlineStr">
      <is>
        <t>54 1 00 Л8690</t>
      </is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indexed="9"/>
        </patternFill>
      </fill>
      <border outline="0">
        <top/>
      </border>
    </ndxf>
  </rcc>
  <rcc rId="2666" sId="1" odxf="1" dxf="1">
    <nc r="C560" t="inlineStr">
      <is>
        <t>200</t>
      </is>
    </nc>
    <odxf>
      <numFmt numFmtId="0" formatCode="General"/>
      <fill>
        <patternFill patternType="none">
          <bgColor indexed="65"/>
        </patternFill>
      </fill>
    </odxf>
    <ndxf>
      <numFmt numFmtId="30" formatCode="@"/>
      <fill>
        <patternFill patternType="solid">
          <bgColor indexed="9"/>
        </patternFill>
      </fill>
    </ndxf>
  </rcc>
  <rcc rId="2667" sId="1" odxf="1" dxf="1">
    <nc r="B561" t="inlineStr">
      <is>
        <t>54 1 00 Л8690</t>
      </is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indexed="9"/>
        </patternFill>
      </fill>
      <border outline="0">
        <top/>
      </border>
    </ndxf>
  </rcc>
  <rcc rId="2668" sId="1" odxf="1" dxf="1">
    <nc r="C561" t="inlineStr">
      <is>
        <t>240</t>
      </is>
    </nc>
    <odxf>
      <numFmt numFmtId="0" formatCode="General"/>
      <fill>
        <patternFill patternType="none">
          <bgColor indexed="65"/>
        </patternFill>
      </fill>
    </odxf>
    <ndxf>
      <numFmt numFmtId="30" formatCode="@"/>
      <fill>
        <patternFill patternType="solid">
          <bgColor indexed="9"/>
        </patternFill>
      </fill>
    </ndxf>
  </rcc>
  <rcc rId="2669" sId="1" odxf="1" dxf="1">
    <nc r="B562" t="inlineStr">
      <is>
        <t>54 1 00 Л8690</t>
      </is>
    </nc>
    <odxf>
      <fill>
        <patternFill patternType="none">
          <bgColor indexed="65"/>
        </patternFill>
      </fill>
      <border outline="0">
        <top style="thin">
          <color indexed="64"/>
        </top>
      </border>
    </odxf>
    <ndxf>
      <fill>
        <patternFill patternType="solid">
          <bgColor indexed="9"/>
        </patternFill>
      </fill>
      <border outline="0">
        <top/>
      </border>
    </ndxf>
  </rcc>
  <rcc rId="2670" sId="1" odxf="1" dxf="1">
    <nc r="C562" t="inlineStr">
      <is>
        <t>244</t>
      </is>
    </nc>
    <odxf>
      <numFmt numFmtId="0" formatCode="General"/>
      <fill>
        <patternFill patternType="none">
          <bgColor indexed="65"/>
        </patternFill>
      </fill>
    </odxf>
    <ndxf>
      <numFmt numFmtId="30" formatCode="@"/>
      <fill>
        <patternFill patternType="solid">
          <bgColor indexed="9"/>
        </patternFill>
      </fill>
    </ndxf>
  </rcc>
  <rcc rId="2671" sId="1" numFmtId="34">
    <nc r="D562">
      <v>28000</v>
    </nc>
  </rcc>
  <rcc rId="2672" sId="1" numFmtId="34">
    <nc r="E562">
      <v>28000</v>
    </nc>
  </rcc>
  <rcc rId="2673" sId="1" numFmtId="34">
    <nc r="F562">
      <v>28000</v>
    </nc>
  </rcc>
  <rcc rId="2674" sId="1">
    <nc r="D559">
      <f>D560</f>
    </nc>
  </rcc>
  <rcc rId="2675" sId="1">
    <nc r="D560">
      <f>D561</f>
    </nc>
  </rcc>
  <rcc rId="2676" sId="1">
    <nc r="D561">
      <f>D562</f>
    </nc>
  </rcc>
  <rcc rId="2677" sId="1">
    <nc r="E559">
      <f>E560</f>
    </nc>
  </rcc>
  <rcc rId="2678" sId="1">
    <nc r="F559">
      <f>F560</f>
    </nc>
  </rcc>
  <rcc rId="2679" sId="1">
    <nc r="E560">
      <f>E561</f>
    </nc>
  </rcc>
  <rcc rId="2680" sId="1">
    <nc r="F560">
      <f>F561</f>
    </nc>
  </rcc>
  <rcc rId="2681" sId="1">
    <nc r="E561">
      <f>E562</f>
    </nc>
  </rcc>
  <rcc rId="2682" sId="1">
    <nc r="F561">
      <f>F562</f>
    </nc>
  </rcc>
  <rcc rId="2683" sId="1">
    <oc r="D550">
      <f>D582+D563+D551+D555</f>
    </oc>
    <nc r="D550">
      <f>D582+D563+D551+D555+D559</f>
    </nc>
  </rcc>
  <rcc rId="2684" sId="1">
    <oc r="E550">
      <f>E582+E563+E551+E555</f>
    </oc>
    <nc r="E550">
      <f>E582+E563+E551+E555+E559</f>
    </nc>
  </rcc>
  <rcc rId="2685" sId="1">
    <oc r="F550">
      <f>F582+F563+F551+F555</f>
    </oc>
    <nc r="F550">
      <f>F582+F563+F551+F555+F559</f>
    </nc>
  </rcc>
  <rfmt sheetId="1" sqref="A559">
    <dxf>
      <fill>
        <patternFill patternType="none">
          <bgColor auto="1"/>
        </patternFill>
      </fill>
    </dxf>
  </rfmt>
  <rcv guid="{9A752CC5-36AC-48BE-BF4B-1A38C4015906}" action="delete"/>
  <rdn rId="0" localSheetId="1" customView="1" name="Z_9A752CC5_36AC_48BE_BF4B_1A38C4015906_.wvu.FilterData" hidden="1" oldHidden="1">
    <formula>'программы '!$A$1:$A$754</formula>
    <oldFormula>'программы '!$B$1:$B$749</oldFormula>
  </rdn>
  <rcv guid="{9A752CC5-36AC-48BE-BF4B-1A38C4015906}" action="add"/>
</revisions>
</file>

<file path=xl/revisions/revisionLog122.xml><?xml version="1.0" encoding="utf-8"?>
<revisions xmlns="http://schemas.openxmlformats.org/spreadsheetml/2006/main" xmlns:r="http://schemas.openxmlformats.org/officeDocument/2006/relationships">
  <rcc rId="4601" sId="1">
    <oc r="D602">
      <f>10307073.16</f>
    </oc>
    <nc r="D602">
      <f>10307073.16+396451.39</f>
    </nc>
  </rcc>
  <rcc rId="4602" sId="1" numFmtId="34">
    <oc r="D604">
      <v>3112736.09</v>
    </oc>
    <nc r="D604">
      <f>3112736.09+119728.31</f>
    </nc>
  </rcc>
  <rcc rId="4603" sId="1" numFmtId="34">
    <oc r="D706">
      <v>95677615.829999998</v>
    </oc>
    <nc r="D706">
      <f>95677615.83-396451.39</f>
    </nc>
  </rcc>
  <rcc rId="4604" sId="1" numFmtId="34">
    <oc r="D708">
      <v>28894640.000000004</v>
    </oc>
    <nc r="D708">
      <f>28894640-119728.31</f>
    </nc>
  </rcc>
  <rfmt sheetId="1" sqref="A1:F1048576">
    <dxf>
      <fill>
        <patternFill patternType="none">
          <bgColor auto="1"/>
        </patternFill>
      </fill>
    </dxf>
  </rfmt>
  <rcv guid="{9A752CC5-36AC-48BE-BF4B-1A38C4015906}" action="delete"/>
  <rdn rId="0" localSheetId="1" customView="1" name="Z_9A752CC5_36AC_48BE_BF4B_1A38C4015906_.wvu.PrintArea" hidden="1" oldHidden="1">
    <formula>'программы '!$A$1:$F$937</formula>
  </rdn>
  <rdn rId="0" localSheetId="1" customView="1" name="Z_9A752CC5_36AC_48BE_BF4B_1A38C4015906_.wvu.Rows" hidden="1" oldHidden="1">
    <formula>'программы '!$75:$78,'программы '!$162:$165,'программы '!$327:$330,'программы '!$348:$350,'программы '!$528:$531,'программы '!$542:$545,'программы '!$579:$580,'программы '!$794:$797,'программы '!$840:$843</formula>
    <oldFormula>'программы '!$75:$78,'программы '!$162:$165,'программы '!$327:$330,'программы '!$348:$350,'программы '!$528:$531,'программы '!$542:$545,'программы '!$579:$580,'программы '!$794:$797,'программы '!$840:$843</oldFormula>
  </rdn>
  <rdn rId="0" localSheetId="1" customView="1" name="Z_9A752CC5_36AC_48BE_BF4B_1A38C4015906_.wvu.FilterData" hidden="1" oldHidden="1">
    <formula>'программы '!$C$1:$C$945</formula>
    <oldFormula>'программы '!$C$1:$C$945</oldFormula>
  </rdn>
  <rcv guid="{9A752CC5-36AC-48BE-BF4B-1A38C4015906}" action="add"/>
</revisions>
</file>

<file path=xl/revisions/revisionLog1221.xml><?xml version="1.0" encoding="utf-8"?>
<revisions xmlns="http://schemas.openxmlformats.org/spreadsheetml/2006/main" xmlns:r="http://schemas.openxmlformats.org/officeDocument/2006/relationships">
  <rrc rId="2712" sId="1" ref="A1:XFD4" action="insertRow">
    <undo index="0" exp="area" ref3D="1" dr="$A$226:$XFD$230" dn="Z_30E81E54_DD45_4653_9DCD_548F6723F554_.wvu.Rows" sId="1"/>
  </rrc>
  <rfmt sheetId="1" s="1" sqref="A1" start="0" length="0">
    <dxf>
      <font>
        <sz val="10"/>
        <color auto="1"/>
        <name val="Times New Roman"/>
        <scheme val="none"/>
      </font>
      <alignment horizontal="right" readingOrder="0"/>
    </dxf>
  </rfmt>
  <rfmt sheetId="1" s="1" sqref="B1" start="0" length="0">
    <dxf>
      <font>
        <sz val="10"/>
        <color auto="1"/>
        <name val="Times New Roman"/>
        <scheme val="none"/>
      </font>
      <alignment horizontal="right" readingOrder="0"/>
    </dxf>
  </rfmt>
  <rfmt sheetId="1" s="1" sqref="C1" start="0" length="0">
    <dxf>
      <font>
        <sz val="10"/>
        <color auto="1"/>
        <name val="Times New Roman"/>
        <scheme val="none"/>
      </font>
      <alignment horizontal="right" readingOrder="0"/>
    </dxf>
  </rfmt>
  <rfmt sheetId="1" s="1" sqref="D1" start="0" length="0">
    <dxf>
      <font>
        <sz val="10"/>
        <color auto="1"/>
        <name val="Times New Roman"/>
        <scheme val="none"/>
      </font>
      <numFmt numFmtId="0" formatCode="General"/>
      <alignment horizontal="right" readingOrder="0"/>
    </dxf>
  </rfmt>
  <rfmt sheetId="1" s="1" sqref="E1" start="0" length="0">
    <dxf>
      <font>
        <sz val="10"/>
        <color auto="1"/>
        <name val="Times New Roman"/>
        <scheme val="none"/>
      </font>
      <numFmt numFmtId="0" formatCode="General"/>
      <alignment horizontal="right" readingOrder="0"/>
    </dxf>
  </rfmt>
  <rfmt sheetId="1" s="1" sqref="F1" start="0" length="0">
    <dxf>
      <font>
        <sz val="10"/>
        <color auto="1"/>
        <name val="Times New Roman"/>
        <scheme val="none"/>
      </font>
      <numFmt numFmtId="0" formatCode="General"/>
      <alignment horizontal="right" readingOrder="0"/>
    </dxf>
  </rfmt>
  <rfmt sheetId="1" s="1" sqref="A2" start="0" length="0">
    <dxf>
      <font>
        <sz val="10"/>
        <color auto="1"/>
        <name val="Times New Roman"/>
        <scheme val="none"/>
      </font>
      <numFmt numFmtId="30" formatCode="@"/>
      <alignment horizontal="right" readingOrder="0"/>
    </dxf>
  </rfmt>
  <rfmt sheetId="1" s="1" sqref="B2" start="0" length="0">
    <dxf>
      <font>
        <sz val="10"/>
        <color auto="1"/>
        <name val="Times New Roman"/>
        <scheme val="none"/>
      </font>
      <numFmt numFmtId="30" formatCode="@"/>
      <alignment horizontal="right" readingOrder="0"/>
    </dxf>
  </rfmt>
  <rfmt sheetId="1" sqref="C2" start="0" length="0">
    <dxf>
      <font>
        <sz val="11"/>
        <name val="Times New Roman"/>
        <scheme val="none"/>
      </font>
      <alignment horizontal="right" readingOrder="0"/>
    </dxf>
  </rfmt>
  <rfmt sheetId="1" sqref="D2" start="0" length="0">
    <dxf>
      <font>
        <sz val="11"/>
        <name val="Times New Roman"/>
        <scheme val="none"/>
      </font>
      <alignment horizontal="right" readingOrder="0"/>
    </dxf>
  </rfmt>
  <rfmt sheetId="1" sqref="E2" start="0" length="0">
    <dxf>
      <font>
        <sz val="11"/>
        <name val="Times New Roman"/>
        <scheme val="none"/>
      </font>
      <alignment horizontal="right" readingOrder="0"/>
    </dxf>
  </rfmt>
  <rcc rId="2713" sId="1" odxf="1" dxf="1">
    <nc r="F2" t="inlineStr">
      <is>
        <t>к решению собрания депутатов</t>
      </is>
    </nc>
    <odxf>
      <font>
        <sz val="11"/>
        <name val="Times New Roman"/>
        <scheme val="none"/>
      </font>
      <alignment horizontal="general" readingOrder="0"/>
    </odxf>
    <ndxf>
      <font>
        <sz val="11"/>
        <name val="Times New Roman"/>
        <scheme val="none"/>
      </font>
      <alignment horizontal="right" readingOrder="0"/>
    </ndxf>
  </rcc>
  <rfmt sheetId="1" s="1" sqref="A3" start="0" length="0">
    <dxf>
      <font>
        <sz val="10"/>
        <color auto="1"/>
        <name val="Times New Roman"/>
        <scheme val="none"/>
      </font>
      <numFmt numFmtId="30" formatCode="@"/>
      <alignment horizontal="right" wrapText="1" readingOrder="0"/>
    </dxf>
  </rfmt>
  <rfmt sheetId="1" s="1" sqref="B3" start="0" length="0">
    <dxf>
      <font>
        <sz val="10"/>
        <color auto="1"/>
        <name val="Times New Roman"/>
        <scheme val="none"/>
      </font>
      <numFmt numFmtId="30" formatCode="@"/>
      <alignment horizontal="right" wrapText="1" readingOrder="0"/>
    </dxf>
  </rfmt>
  <rfmt sheetId="1" sqref="C3" start="0" length="0">
    <dxf>
      <font>
        <sz val="11"/>
        <name val="Times New Roman"/>
        <scheme val="none"/>
      </font>
      <alignment horizontal="right" readingOrder="0"/>
    </dxf>
  </rfmt>
  <rfmt sheetId="1" sqref="D3" start="0" length="0">
    <dxf>
      <font>
        <sz val="11"/>
        <name val="Times New Roman"/>
        <scheme val="none"/>
      </font>
      <alignment horizontal="right" readingOrder="0"/>
    </dxf>
  </rfmt>
  <rfmt sheetId="1" sqref="E3" start="0" length="0">
    <dxf>
      <font>
        <sz val="11"/>
        <name val="Times New Roman"/>
        <scheme val="none"/>
      </font>
      <alignment horizontal="right" readingOrder="0"/>
    </dxf>
  </rfmt>
  <rcc rId="2714" sId="1" odxf="1" dxf="1">
    <nc r="F3" t="inlineStr">
      <is>
        <t>Плесецкого муниципального округа Архангельской области</t>
      </is>
    </nc>
    <odxf>
      <font>
        <sz val="11"/>
        <name val="Times New Roman"/>
        <scheme val="none"/>
      </font>
      <alignment horizontal="general" readingOrder="0"/>
    </odxf>
    <ndxf>
      <font>
        <sz val="11"/>
        <name val="Times New Roman"/>
        <scheme val="none"/>
      </font>
      <alignment horizontal="right" readingOrder="0"/>
    </ndxf>
  </rcc>
  <rfmt sheetId="1" s="1" sqref="A4" start="0" length="0">
    <dxf>
      <font>
        <sz val="10"/>
        <color auto="1"/>
        <name val="Times New Roman"/>
        <scheme val="none"/>
      </font>
      <numFmt numFmtId="30" formatCode="@"/>
      <alignment horizontal="right" wrapText="1" readingOrder="0"/>
    </dxf>
  </rfmt>
  <rfmt sheetId="1" s="1" sqref="B4" start="0" length="0">
    <dxf>
      <font>
        <sz val="10"/>
        <color auto="1"/>
        <name val="Times New Roman"/>
        <scheme val="none"/>
      </font>
      <numFmt numFmtId="30" formatCode="@"/>
      <alignment horizontal="right" wrapText="1" readingOrder="0"/>
    </dxf>
  </rfmt>
  <rfmt sheetId="1" sqref="C4" start="0" length="0">
    <dxf>
      <font>
        <sz val="11"/>
        <name val="Times New Roman"/>
        <scheme val="none"/>
      </font>
      <alignment horizontal="right" readingOrder="0"/>
    </dxf>
  </rfmt>
  <rfmt sheetId="1" sqref="D4" start="0" length="0">
    <dxf>
      <font>
        <sz val="11"/>
        <name val="Times New Roman"/>
        <scheme val="none"/>
      </font>
      <alignment horizontal="right" readingOrder="0"/>
    </dxf>
  </rfmt>
  <rfmt sheetId="1" sqref="E4" start="0" length="0">
    <dxf>
      <font>
        <sz val="11"/>
        <name val="Times New Roman"/>
        <scheme val="none"/>
      </font>
      <alignment horizontal="right" readingOrder="0"/>
    </dxf>
  </rfmt>
  <rcc rId="2715" sId="1" odxf="1" dxf="1">
    <nc r="F4" t="inlineStr">
      <is>
        <t xml:space="preserve">от 19 декабря 2023 года №183 </t>
      </is>
    </nc>
    <odxf>
      <font>
        <sz val="11"/>
        <name val="Times New Roman"/>
        <scheme val="none"/>
      </font>
      <alignment horizontal="general" readingOrder="0"/>
    </odxf>
    <ndxf>
      <font>
        <sz val="11"/>
        <name val="Times New Roman"/>
        <scheme val="none"/>
      </font>
      <alignment horizontal="right" readingOrder="0"/>
    </ndxf>
  </rcc>
  <rcc rId="2716" sId="1">
    <nc r="F1" t="inlineStr">
      <is>
        <t xml:space="preserve"> Приложение № 5</t>
      </is>
    </nc>
  </rcc>
  <rrc rId="2717" sId="1" ref="A10:XFD13" action="insertRow">
    <undo index="0" exp="area" ref3D="1" dr="$A$230:$XFD$234" dn="Z_30E81E54_DD45_4653_9DCD_548F6723F554_.wvu.Rows" sId="1"/>
  </rrc>
  <rm rId="2718" sheetId="1" source="A1:XFD4" destination="A10:XFD13" sourceSheetId="1">
    <rfmt sheetId="1" xfDxf="1" sqref="A10:XFD10" start="0" length="0">
      <dxf>
        <font>
          <name val="Times New Roman"/>
          <scheme val="none"/>
        </font>
        <alignment vertical="center" readingOrder="0"/>
      </dxf>
    </rfmt>
    <rfmt sheetId="1" xfDxf="1" sqref="A11:XFD11" start="0" length="0">
      <dxf>
        <font>
          <name val="Times New Roman"/>
          <scheme val="none"/>
        </font>
        <alignment vertical="center" readingOrder="0"/>
      </dxf>
    </rfmt>
    <rfmt sheetId="1" xfDxf="1" sqref="A12:XFD12" start="0" length="0">
      <dxf>
        <font>
          <name val="Times New Roman"/>
          <scheme val="none"/>
        </font>
        <alignment vertical="center" readingOrder="0"/>
      </dxf>
    </rfmt>
    <rfmt sheetId="1" xfDxf="1" sqref="A13:XFD13" start="0" length="0">
      <dxf>
        <font>
          <name val="Times New Roman"/>
          <scheme val="none"/>
        </font>
        <alignment vertical="center" readingOrder="0"/>
      </dxf>
    </rfmt>
    <rfmt sheetId="1" sqref="B10" start="0" length="0">
      <dxf>
        <alignment horizontal="center" readingOrder="0"/>
      </dxf>
    </rfmt>
    <rfmt sheetId="1" sqref="C10" start="0" length="0">
      <dxf>
        <alignment horizontal="center" readingOrder="0"/>
      </dxf>
    </rfmt>
    <rfmt sheetId="1" sqref="D10" start="0" length="0">
      <dxf>
        <numFmt numFmtId="164" formatCode="_-* #,##0.00_р_._-;\-* #,##0.00_р_._-;_-* &quot;-&quot;??_р_._-;_-@_-"/>
      </dxf>
    </rfmt>
    <rfmt sheetId="1" sqref="E10" start="0" length="0">
      <dxf>
        <numFmt numFmtId="164" formatCode="_-* #,##0.00_р_._-;\-* #,##0.00_р_._-;_-* &quot;-&quot;??_р_._-;_-@_-"/>
      </dxf>
    </rfmt>
    <rfmt sheetId="1" sqref="F10" start="0" length="0">
      <dxf>
        <numFmt numFmtId="164" formatCode="_-* #,##0.00_р_._-;\-* #,##0.00_р_._-;_-* &quot;-&quot;??_р_._-;_-@_-"/>
      </dxf>
    </rfmt>
    <rfmt sheetId="1" sqref="B11" start="0" length="0">
      <dxf>
        <alignment horizontal="center" readingOrder="0"/>
      </dxf>
    </rfmt>
    <rfmt sheetId="1" sqref="C11" start="0" length="0">
      <dxf>
        <alignment horizontal="center" readingOrder="0"/>
      </dxf>
    </rfmt>
    <rfmt sheetId="1" sqref="D11" start="0" length="0">
      <dxf>
        <numFmt numFmtId="164" formatCode="_-* #,##0.00_р_._-;\-* #,##0.00_р_._-;_-* &quot;-&quot;??_р_._-;_-@_-"/>
      </dxf>
    </rfmt>
    <rfmt sheetId="1" sqref="E11" start="0" length="0">
      <dxf>
        <numFmt numFmtId="164" formatCode="_-* #,##0.00_р_._-;\-* #,##0.00_р_._-;_-* &quot;-&quot;??_р_._-;_-@_-"/>
      </dxf>
    </rfmt>
    <rfmt sheetId="1" sqref="F11" start="0" length="0">
      <dxf>
        <numFmt numFmtId="164" formatCode="_-* #,##0.00_р_._-;\-* #,##0.00_р_._-;_-* &quot;-&quot;??_р_._-;_-@_-"/>
      </dxf>
    </rfmt>
    <rfmt sheetId="1" sqref="B12" start="0" length="0">
      <dxf>
        <alignment horizontal="center" readingOrder="0"/>
      </dxf>
    </rfmt>
    <rfmt sheetId="1" sqref="C12" start="0" length="0">
      <dxf>
        <alignment horizontal="center" readingOrder="0"/>
      </dxf>
    </rfmt>
    <rfmt sheetId="1" sqref="D12" start="0" length="0">
      <dxf>
        <numFmt numFmtId="164" formatCode="_-* #,##0.00_р_._-;\-* #,##0.00_р_._-;_-* &quot;-&quot;??_р_._-;_-@_-"/>
      </dxf>
    </rfmt>
    <rfmt sheetId="1" sqref="E12" start="0" length="0">
      <dxf>
        <numFmt numFmtId="164" formatCode="_-* #,##0.00_р_._-;\-* #,##0.00_р_._-;_-* &quot;-&quot;??_р_._-;_-@_-"/>
      </dxf>
    </rfmt>
    <rfmt sheetId="1" sqref="F12" start="0" length="0">
      <dxf>
        <numFmt numFmtId="164" formatCode="_-* #,##0.00_р_._-;\-* #,##0.00_р_._-;_-* &quot;-&quot;??_р_._-;_-@_-"/>
      </dxf>
    </rfmt>
    <rfmt sheetId="1" sqref="B13" start="0" length="0">
      <dxf>
        <alignment horizontal="center" readingOrder="0"/>
      </dxf>
    </rfmt>
    <rfmt sheetId="1" sqref="C13" start="0" length="0">
      <dxf>
        <alignment horizontal="center" readingOrder="0"/>
      </dxf>
    </rfmt>
    <rfmt sheetId="1" sqref="D13" start="0" length="0">
      <dxf>
        <numFmt numFmtId="164" formatCode="_-* #,##0.00_р_._-;\-* #,##0.00_р_._-;_-* &quot;-&quot;??_р_._-;_-@_-"/>
      </dxf>
    </rfmt>
    <rfmt sheetId="1" sqref="E13" start="0" length="0">
      <dxf>
        <numFmt numFmtId="164" formatCode="_-* #,##0.00_р_._-;\-* #,##0.00_р_._-;_-* &quot;-&quot;??_р_._-;_-@_-"/>
      </dxf>
    </rfmt>
    <rfmt sheetId="1" sqref="F13" start="0" length="0">
      <dxf>
        <numFmt numFmtId="164" formatCode="_-* #,##0.00_р_._-;\-* #,##0.00_р_._-;_-* &quot;-&quot;??_р_._-;_-@_-"/>
      </dxf>
    </rfmt>
  </rm>
  <rrc rId="2719" sId="1" ref="A1:XFD1" action="deleteRow">
    <undo index="0" exp="area" ref3D="1" dr="$A$234:$XFD$238" dn="Z_30E81E54_DD45_4653_9DCD_548F6723F554_.wvu.Rows" sId="1"/>
    <rfmt sheetId="1" xfDxf="1" sqref="A1:XFD1" start="0" length="0">
      <dxf>
        <font>
          <sz val="11"/>
          <name val="Times New Roman"/>
          <scheme val="none"/>
        </font>
        <alignment vertical="center" readingOrder="0"/>
      </dxf>
    </rfmt>
    <rfmt sheetId="1" sqref="B1" start="0" length="0">
      <dxf>
        <alignment horizontal="center" readingOrder="0"/>
      </dxf>
    </rfmt>
    <rfmt sheetId="1" sqref="C1" start="0" length="0">
      <dxf>
        <alignment horizontal="center" readingOrder="0"/>
      </dxf>
    </rfmt>
    <rfmt sheetId="1" sqref="D1" start="0" length="0">
      <dxf>
        <numFmt numFmtId="164" formatCode="_-* #,##0.00_р_._-;\-* #,##0.00_р_._-;_-* &quot;-&quot;??_р_._-;_-@_-"/>
      </dxf>
    </rfmt>
    <rfmt sheetId="1" sqref="E1" start="0" length="0">
      <dxf>
        <numFmt numFmtId="164" formatCode="_-* #,##0.00_р_._-;\-* #,##0.00_р_._-;_-* &quot;-&quot;??_р_._-;_-@_-"/>
      </dxf>
    </rfmt>
    <rfmt sheetId="1" sqref="F1" start="0" length="0">
      <dxf>
        <numFmt numFmtId="164" formatCode="_-* #,##0.00_р_._-;\-* #,##0.00_р_._-;_-* &quot;-&quot;??_р_._-;_-@_-"/>
      </dxf>
    </rfmt>
  </rrc>
  <rrc rId="2720" sId="1" ref="A1:XFD1" action="deleteRow">
    <undo index="0" exp="area" ref3D="1" dr="$A$233:$XFD$237" dn="Z_30E81E54_DD45_4653_9DCD_548F6723F554_.wvu.Rows" sId="1"/>
    <rfmt sheetId="1" xfDxf="1" sqref="A1:XFD1" start="0" length="0">
      <dxf>
        <font>
          <sz val="11"/>
          <name val="Times New Roman"/>
          <scheme val="none"/>
        </font>
        <alignment vertical="center" readingOrder="0"/>
      </dxf>
    </rfmt>
    <rfmt sheetId="1" sqref="B1" start="0" length="0">
      <dxf>
        <alignment horizontal="center" readingOrder="0"/>
      </dxf>
    </rfmt>
    <rfmt sheetId="1" sqref="C1" start="0" length="0">
      <dxf>
        <alignment horizontal="center" readingOrder="0"/>
      </dxf>
    </rfmt>
    <rfmt sheetId="1" sqref="D1" start="0" length="0">
      <dxf>
        <numFmt numFmtId="164" formatCode="_-* #,##0.00_р_._-;\-* #,##0.00_р_._-;_-* &quot;-&quot;??_р_._-;_-@_-"/>
      </dxf>
    </rfmt>
    <rfmt sheetId="1" sqref="E1" start="0" length="0">
      <dxf>
        <numFmt numFmtId="164" formatCode="_-* #,##0.00_р_._-;\-* #,##0.00_р_._-;_-* &quot;-&quot;??_р_._-;_-@_-"/>
      </dxf>
    </rfmt>
    <rfmt sheetId="1" sqref="F1" start="0" length="0">
      <dxf>
        <numFmt numFmtId="164" formatCode="_-* #,##0.00_р_._-;\-* #,##0.00_р_._-;_-* &quot;-&quot;??_р_._-;_-@_-"/>
      </dxf>
    </rfmt>
  </rrc>
  <rrc rId="2721" sId="1" ref="A1:XFD1" action="deleteRow">
    <undo index="0" exp="area" ref3D="1" dr="$A$232:$XFD$236" dn="Z_30E81E54_DD45_4653_9DCD_548F6723F554_.wvu.Rows" sId="1"/>
    <rfmt sheetId="1" xfDxf="1" sqref="A1:XFD1" start="0" length="0">
      <dxf>
        <font>
          <sz val="11"/>
          <name val="Times New Roman"/>
          <scheme val="none"/>
        </font>
        <alignment vertical="center" readingOrder="0"/>
      </dxf>
    </rfmt>
    <rfmt sheetId="1" sqref="B1" start="0" length="0">
      <dxf>
        <alignment horizontal="center" readingOrder="0"/>
      </dxf>
    </rfmt>
    <rfmt sheetId="1" sqref="C1" start="0" length="0">
      <dxf>
        <alignment horizontal="center" readingOrder="0"/>
      </dxf>
    </rfmt>
    <rfmt sheetId="1" sqref="D1" start="0" length="0">
      <dxf>
        <numFmt numFmtId="164" formatCode="_-* #,##0.00_р_._-;\-* #,##0.00_р_._-;_-* &quot;-&quot;??_р_._-;_-@_-"/>
      </dxf>
    </rfmt>
    <rfmt sheetId="1" sqref="E1" start="0" length="0">
      <dxf>
        <numFmt numFmtId="164" formatCode="_-* #,##0.00_р_._-;\-* #,##0.00_р_._-;_-* &quot;-&quot;??_р_._-;_-@_-"/>
      </dxf>
    </rfmt>
    <rfmt sheetId="1" sqref="F1" start="0" length="0">
      <dxf>
        <numFmt numFmtId="164" formatCode="_-* #,##0.00_р_._-;\-* #,##0.00_р_._-;_-* &quot;-&quot;??_р_._-;_-@_-"/>
      </dxf>
    </rfmt>
  </rrc>
  <rrc rId="2722" sId="1" ref="A1:XFD1" action="deleteRow">
    <undo index="0" exp="area" ref3D="1" dr="$A$231:$XFD$235" dn="Z_30E81E54_DD45_4653_9DCD_548F6723F554_.wvu.Rows" sId="1"/>
    <rfmt sheetId="1" xfDxf="1" sqref="A1:XFD1" start="0" length="0">
      <dxf>
        <font>
          <sz val="11"/>
          <name val="Times New Roman"/>
          <scheme val="none"/>
        </font>
        <alignment vertical="center" readingOrder="0"/>
      </dxf>
    </rfmt>
    <rfmt sheetId="1" sqref="B1" start="0" length="0">
      <dxf>
        <alignment horizontal="center" readingOrder="0"/>
      </dxf>
    </rfmt>
    <rfmt sheetId="1" sqref="C1" start="0" length="0">
      <dxf>
        <alignment horizontal="center" readingOrder="0"/>
      </dxf>
    </rfmt>
    <rfmt sheetId="1" sqref="D1" start="0" length="0">
      <dxf>
        <numFmt numFmtId="164" formatCode="_-* #,##0.00_р_._-;\-* #,##0.00_р_._-;_-* &quot;-&quot;??_р_._-;_-@_-"/>
      </dxf>
    </rfmt>
    <rfmt sheetId="1" sqref="E1" start="0" length="0">
      <dxf>
        <numFmt numFmtId="164" formatCode="_-* #,##0.00_р_._-;\-* #,##0.00_р_._-;_-* &quot;-&quot;??_р_._-;_-@_-"/>
      </dxf>
    </rfmt>
    <rfmt sheetId="1" sqref="F1" start="0" length="0">
      <dxf>
        <numFmt numFmtId="164" formatCode="_-* #,##0.00_р_._-;\-* #,##0.00_р_._-;_-* &quot;-&quot;??_р_._-;_-@_-"/>
      </dxf>
    </rfmt>
  </rrc>
  <rcc rId="2723" sId="1">
    <oc r="F4" t="inlineStr">
      <is>
        <t xml:space="preserve">от                   2024 года № </t>
      </is>
    </oc>
    <nc r="F4" t="inlineStr">
      <is>
        <t xml:space="preserve">от                  февраля 2024 года № </t>
      </is>
    </nc>
  </rcc>
  <rcv guid="{9A752CC5-36AC-48BE-BF4B-1A38C4015906}" action="delete"/>
  <rdn rId="0" localSheetId="1" customView="1" name="Z_9A752CC5_36AC_48BE_BF4B_1A38C4015906_.wvu.FilterData" hidden="1" oldHidden="1">
    <formula>'программы '!$A$1:$A$761</formula>
    <oldFormula>'программы '!$A$1:$A$761</oldFormula>
  </rdn>
  <rcv guid="{9A752CC5-36AC-48BE-BF4B-1A38C4015906}" action="add"/>
</revisions>
</file>

<file path=xl/revisions/revisionLog1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697" sId="1" ref="A273:XFD273" action="insertRow">
    <undo index="0" exp="area" ref3D="1" dr="$A$303:$XFD$311" dn="Z_30E81E54_DD45_4653_9DCD_548F6723F554_.wvu.Rows" sId="1"/>
    <undo index="16" exp="area" ref3D="1" dr="$A$845:$XFD$848" dn="Z_9A752CC5_36AC_48BE_BF4B_1A38C4015906_.wvu.Rows" sId="1"/>
    <undo index="14" exp="area" ref3D="1" dr="$A$799:$XFD$802" dn="Z_9A752CC5_36AC_48BE_BF4B_1A38C4015906_.wvu.Rows" sId="1"/>
    <undo index="12" exp="area" ref3D="1" dr="$A$583:$XFD$584" dn="Z_9A752CC5_36AC_48BE_BF4B_1A38C4015906_.wvu.Rows" sId="1"/>
    <undo index="10" exp="area" ref3D="1" dr="$A$546:$XFD$549" dn="Z_9A752CC5_36AC_48BE_BF4B_1A38C4015906_.wvu.Rows" sId="1"/>
    <undo index="8" exp="area" ref3D="1" dr="$A$532:$XFD$535" dn="Z_9A752CC5_36AC_48BE_BF4B_1A38C4015906_.wvu.Rows" sId="1"/>
    <undo index="6" exp="area" ref3D="1" dr="$A$352:$XFD$354" dn="Z_9A752CC5_36AC_48BE_BF4B_1A38C4015906_.wvu.Rows" sId="1"/>
    <undo index="4" exp="area" ref3D="1" dr="$A$331:$XFD$334" dn="Z_9A752CC5_36AC_48BE_BF4B_1A38C4015906_.wvu.Rows" sId="1"/>
  </rrc>
  <rrc rId="4698" sId="1" ref="A273:XFD273" action="insertRow">
    <undo index="0" exp="area" ref3D="1" dr="$A$304:$XFD$312" dn="Z_30E81E54_DD45_4653_9DCD_548F6723F554_.wvu.Rows" sId="1"/>
    <undo index="16" exp="area" ref3D="1" dr="$A$846:$XFD$849" dn="Z_9A752CC5_36AC_48BE_BF4B_1A38C4015906_.wvu.Rows" sId="1"/>
    <undo index="14" exp="area" ref3D="1" dr="$A$800:$XFD$803" dn="Z_9A752CC5_36AC_48BE_BF4B_1A38C4015906_.wvu.Rows" sId="1"/>
    <undo index="12" exp="area" ref3D="1" dr="$A$584:$XFD$585" dn="Z_9A752CC5_36AC_48BE_BF4B_1A38C4015906_.wvu.Rows" sId="1"/>
    <undo index="10" exp="area" ref3D="1" dr="$A$547:$XFD$550" dn="Z_9A752CC5_36AC_48BE_BF4B_1A38C4015906_.wvu.Rows" sId="1"/>
    <undo index="8" exp="area" ref3D="1" dr="$A$533:$XFD$536" dn="Z_9A752CC5_36AC_48BE_BF4B_1A38C4015906_.wvu.Rows" sId="1"/>
    <undo index="6" exp="area" ref3D="1" dr="$A$353:$XFD$355" dn="Z_9A752CC5_36AC_48BE_BF4B_1A38C4015906_.wvu.Rows" sId="1"/>
    <undo index="4" exp="area" ref3D="1" dr="$A$332:$XFD$335" dn="Z_9A752CC5_36AC_48BE_BF4B_1A38C4015906_.wvu.Rows" sId="1"/>
  </rrc>
  <rrc rId="4699" sId="1" ref="A273:XFD273" action="insertRow">
    <undo index="0" exp="area" ref3D="1" dr="$A$305:$XFD$313" dn="Z_30E81E54_DD45_4653_9DCD_548F6723F554_.wvu.Rows" sId="1"/>
    <undo index="16" exp="area" ref3D="1" dr="$A$847:$XFD$850" dn="Z_9A752CC5_36AC_48BE_BF4B_1A38C4015906_.wvu.Rows" sId="1"/>
    <undo index="14" exp="area" ref3D="1" dr="$A$801:$XFD$804" dn="Z_9A752CC5_36AC_48BE_BF4B_1A38C4015906_.wvu.Rows" sId="1"/>
    <undo index="12" exp="area" ref3D="1" dr="$A$585:$XFD$586" dn="Z_9A752CC5_36AC_48BE_BF4B_1A38C4015906_.wvu.Rows" sId="1"/>
    <undo index="10" exp="area" ref3D="1" dr="$A$548:$XFD$551" dn="Z_9A752CC5_36AC_48BE_BF4B_1A38C4015906_.wvu.Rows" sId="1"/>
    <undo index="8" exp="area" ref3D="1" dr="$A$534:$XFD$537" dn="Z_9A752CC5_36AC_48BE_BF4B_1A38C4015906_.wvu.Rows" sId="1"/>
    <undo index="6" exp="area" ref3D="1" dr="$A$354:$XFD$356" dn="Z_9A752CC5_36AC_48BE_BF4B_1A38C4015906_.wvu.Rows" sId="1"/>
    <undo index="4" exp="area" ref3D="1" dr="$A$333:$XFD$336" dn="Z_9A752CC5_36AC_48BE_BF4B_1A38C4015906_.wvu.Rows" sId="1"/>
  </rrc>
  <rfmt sheetId="1" sqref="D273:D274">
    <dxf>
      <fill>
        <patternFill>
          <bgColor theme="0"/>
        </patternFill>
      </fill>
    </dxf>
  </rfmt>
  <rcc rId="4700" sId="1">
    <nc r="C275">
      <v>831</v>
    </nc>
  </rcc>
  <rcc rId="4701" sId="1">
    <nc r="C274">
      <v>830</v>
    </nc>
  </rcc>
  <rcc rId="4702" sId="1">
    <nc r="C273">
      <v>800</v>
    </nc>
  </rcc>
  <rcc rId="4703" sId="1">
    <nc r="B275" t="inlineStr">
      <is>
        <t>04 0 00 83680</t>
      </is>
    </nc>
  </rcc>
  <rcc rId="4704" sId="1">
    <nc r="B274" t="inlineStr">
      <is>
        <t>04 0 00 83680</t>
      </is>
    </nc>
  </rcc>
  <rcc rId="4705" sId="1">
    <nc r="B273" t="inlineStr">
      <is>
        <t>04 0 00 83680</t>
      </is>
    </nc>
  </rcc>
  <rcc rId="4706" sId="1">
    <nc r="A273" t="inlineStr">
      <is>
        <t>Иные бюджетные ассигнования</t>
      </is>
    </nc>
  </rcc>
  <rcc rId="4707" sId="1">
    <nc r="A274" t="inlineStr">
      <is>
        <t xml:space="preserve">Исполнение судебных актов </t>
      </is>
    </nc>
  </rcc>
  <rcc rId="4708" sId="1">
    <nc r="A275" t="inlineStr">
      <is>
        <t>Исполнение судебных актов Российской Федерации и мировых соглашений по возмещению причиненного вреда</t>
      </is>
    </nc>
  </rcc>
  <rcc rId="4709" sId="1">
    <nc r="D274">
      <f>D275</f>
    </nc>
  </rcc>
  <rcc rId="4710" sId="1" odxf="1" dxf="1">
    <nc r="E274">
      <f>E275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711" sId="1" odxf="1" dxf="1">
    <nc r="F274">
      <f>F275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712" sId="1">
    <nc r="D273">
      <f>D274</f>
    </nc>
  </rcc>
  <rcc rId="4713" sId="1" odxf="1" dxf="1">
    <nc r="E273">
      <f>E274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714" sId="1" odxf="1" dxf="1">
    <nc r="F273">
      <f>F274</f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4715" sId="1" numFmtId="34">
    <nc r="D275">
      <v>40468.9</v>
    </nc>
  </rcc>
  <rcc rId="4716" sId="1">
    <oc r="D269">
      <f>D270</f>
    </oc>
    <nc r="D269">
      <f>D270+D273</f>
    </nc>
  </rcc>
  <rcc rId="4717" sId="1">
    <oc r="E269">
      <f>E270</f>
    </oc>
    <nc r="E269">
      <f>E270+E273</f>
    </nc>
  </rcc>
  <rcc rId="4718" sId="1">
    <oc r="F269">
      <f>F270</f>
    </oc>
    <nc r="F269">
      <f>F270+F273</f>
    </nc>
  </rcc>
</revisions>
</file>

<file path=xl/revisions/revisionLog1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19" sId="1">
    <oc r="D369">
      <f>5000000+344484+87070.87</f>
    </oc>
    <nc r="D369">
      <f>5000000+344484+87070.87+2381236.58</f>
    </nc>
  </rcc>
  <rrc rId="4720" sId="1" ref="A371:XFD371" action="insertRow">
    <undo index="16" exp="area" ref3D="1" dr="$A$848:$XFD$851" dn="Z_9A752CC5_36AC_48BE_BF4B_1A38C4015906_.wvu.Rows" sId="1"/>
    <undo index="14" exp="area" ref3D="1" dr="$A$802:$XFD$805" dn="Z_9A752CC5_36AC_48BE_BF4B_1A38C4015906_.wvu.Rows" sId="1"/>
    <undo index="12" exp="area" ref3D="1" dr="$A$586:$XFD$587" dn="Z_9A752CC5_36AC_48BE_BF4B_1A38C4015906_.wvu.Rows" sId="1"/>
    <undo index="10" exp="area" ref3D="1" dr="$A$549:$XFD$552" dn="Z_9A752CC5_36AC_48BE_BF4B_1A38C4015906_.wvu.Rows" sId="1"/>
    <undo index="8" exp="area" ref3D="1" dr="$A$535:$XFD$538" dn="Z_9A752CC5_36AC_48BE_BF4B_1A38C4015906_.wvu.Rows" sId="1"/>
  </rrc>
  <rrc rId="4721" sId="1" ref="A371:XFD371" action="insertRow">
    <undo index="16" exp="area" ref3D="1" dr="$A$849:$XFD$852" dn="Z_9A752CC5_36AC_48BE_BF4B_1A38C4015906_.wvu.Rows" sId="1"/>
    <undo index="14" exp="area" ref3D="1" dr="$A$803:$XFD$806" dn="Z_9A752CC5_36AC_48BE_BF4B_1A38C4015906_.wvu.Rows" sId="1"/>
    <undo index="12" exp="area" ref3D="1" dr="$A$587:$XFD$588" dn="Z_9A752CC5_36AC_48BE_BF4B_1A38C4015906_.wvu.Rows" sId="1"/>
    <undo index="10" exp="area" ref3D="1" dr="$A$550:$XFD$553" dn="Z_9A752CC5_36AC_48BE_BF4B_1A38C4015906_.wvu.Rows" sId="1"/>
    <undo index="8" exp="area" ref3D="1" dr="$A$536:$XFD$539" dn="Z_9A752CC5_36AC_48BE_BF4B_1A38C4015906_.wvu.Rows" sId="1"/>
  </rrc>
  <rrc rId="4722" sId="1" ref="A371:XFD371" action="insertRow">
    <undo index="16" exp="area" ref3D="1" dr="$A$850:$XFD$853" dn="Z_9A752CC5_36AC_48BE_BF4B_1A38C4015906_.wvu.Rows" sId="1"/>
    <undo index="14" exp="area" ref3D="1" dr="$A$804:$XFD$807" dn="Z_9A752CC5_36AC_48BE_BF4B_1A38C4015906_.wvu.Rows" sId="1"/>
    <undo index="12" exp="area" ref3D="1" dr="$A$588:$XFD$589" dn="Z_9A752CC5_36AC_48BE_BF4B_1A38C4015906_.wvu.Rows" sId="1"/>
    <undo index="10" exp="area" ref3D="1" dr="$A$551:$XFD$554" dn="Z_9A752CC5_36AC_48BE_BF4B_1A38C4015906_.wvu.Rows" sId="1"/>
    <undo index="8" exp="area" ref3D="1" dr="$A$537:$XFD$540" dn="Z_9A752CC5_36AC_48BE_BF4B_1A38C4015906_.wvu.Rows" sId="1"/>
  </rrc>
  <rrc rId="4723" sId="1" ref="A371:XFD371" action="insertRow">
    <undo index="16" exp="area" ref3D="1" dr="$A$851:$XFD$854" dn="Z_9A752CC5_36AC_48BE_BF4B_1A38C4015906_.wvu.Rows" sId="1"/>
    <undo index="14" exp="area" ref3D="1" dr="$A$805:$XFD$808" dn="Z_9A752CC5_36AC_48BE_BF4B_1A38C4015906_.wvu.Rows" sId="1"/>
    <undo index="12" exp="area" ref3D="1" dr="$A$589:$XFD$590" dn="Z_9A752CC5_36AC_48BE_BF4B_1A38C4015906_.wvu.Rows" sId="1"/>
    <undo index="10" exp="area" ref3D="1" dr="$A$552:$XFD$555" dn="Z_9A752CC5_36AC_48BE_BF4B_1A38C4015906_.wvu.Rows" sId="1"/>
    <undo index="8" exp="area" ref3D="1" dr="$A$538:$XFD$541" dn="Z_9A752CC5_36AC_48BE_BF4B_1A38C4015906_.wvu.Rows" sId="1"/>
  </rrc>
  <rcc rId="4724" sId="1" numFmtId="34">
    <nc r="C374">
      <v>244</v>
    </nc>
  </rcc>
  <rcc rId="4725" sId="1" numFmtId="34">
    <nc r="C373">
      <v>240</v>
    </nc>
  </rcc>
  <rcc rId="4726" sId="1" numFmtId="34">
    <nc r="C372">
      <v>200</v>
    </nc>
  </rcc>
  <rcc rId="4727" sId="1" xfDxf="1" s="1" dxf="1">
    <nc r="B372" t="inlineStr">
      <is>
        <t>07 0 00 S8420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4728" sId="1" xfDxf="1" s="1" dxf="1">
    <nc r="B373" t="inlineStr">
      <is>
        <t>07 0 00 S8420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4729" sId="1" xfDxf="1" s="1" dxf="1">
    <nc r="B374" t="inlineStr">
      <is>
        <t>07 0 00 S8420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4730" sId="1" xfDxf="1" s="1" dxf="1">
    <nc r="B371" t="inlineStr">
      <is>
        <t>07 0 00 S8420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4731" sId="1">
    <nc r="A371" t="inlineStr">
      <is>
        <t>Развитие территориального общественного самоуправления в Архангельской области</t>
      </is>
    </nc>
  </rcc>
  <rfmt sheetId="1" sqref="A371" start="0" length="2147483647">
    <dxf>
      <font>
        <i val="0"/>
      </font>
    </dxf>
  </rfmt>
  <rcc rId="4732" sId="1" xfDxf="1" s="1" dxf="1">
    <nc r="A372" t="inlineStr">
      <is>
        <t>Закупка товаров, работ и услуг для обеспечения государственных (муниципальных) нужд</t>
      </is>
    </nc>
    <n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fmt sheetId="1" sqref="A372" start="0" length="2147483647">
    <dxf>
      <font>
        <i val="0"/>
      </font>
    </dxf>
  </rfmt>
  <rcc rId="4733" sId="1">
    <nc r="A373" t="inlineStr">
      <is>
        <t>Иные закупки товаров, работ и услуг для обеспечения государственных (муниципальных) нужд</t>
      </is>
    </nc>
  </rcc>
  <rfmt sheetId="1" sqref="A373:A374" start="0" length="2147483647">
    <dxf>
      <font>
        <i val="0"/>
      </font>
    </dxf>
  </rfmt>
  <rcc rId="4734" sId="1" xfDxf="1" s="1" dxf="1">
    <nc r="A374" t="inlineStr">
      <is>
        <t>Прочая закупка товаров, работ и услуг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justify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4735" sId="1">
    <nc r="D373">
      <f>D374</f>
    </nc>
  </rcc>
  <rcc rId="4736" sId="1">
    <nc r="E373">
      <f>E374</f>
    </nc>
  </rcc>
  <rcc rId="4737" sId="1">
    <nc r="F373">
      <f>F374</f>
    </nc>
  </rcc>
  <rcc rId="4738" sId="1">
    <nc r="D372">
      <f>D373</f>
    </nc>
  </rcc>
  <rcc rId="4739" sId="1">
    <nc r="E372">
      <f>E373</f>
    </nc>
  </rcc>
  <rcc rId="4740" sId="1">
    <nc r="F372">
      <f>F373</f>
    </nc>
  </rcc>
  <rcc rId="4741" sId="1">
    <nc r="D371">
      <f>D372+D375</f>
    </nc>
  </rcc>
  <rcc rId="4742" sId="1">
    <nc r="E371">
      <f>E372+E375</f>
    </nc>
  </rcc>
  <rcc rId="4743" sId="1">
    <nc r="F371">
      <f>F372+F375</f>
    </nc>
  </rcc>
  <rcc rId="4744" sId="1">
    <oc r="B370" t="inlineStr">
      <is>
        <t>07 0 00 S8420</t>
      </is>
    </oc>
    <nc r="B370" t="inlineStr">
      <is>
        <t>07 0 00 00000</t>
      </is>
    </nc>
  </rcc>
  <rfmt sheetId="1" sqref="B370" start="0" length="2147483647">
    <dxf>
      <font>
        <i/>
      </font>
    </dxf>
  </rfmt>
  <rrc rId="4745" sId="1" ref="A370:XFD370" action="deleteRow">
    <undo index="0" exp="ref" v="1" dr="F370" r="F365" sId="1"/>
    <undo index="0" exp="ref" v="1" dr="E370" r="E365" sId="1"/>
    <undo index="0" exp="ref" v="1" dr="D370" r="D365" sId="1"/>
    <undo index="16" exp="area" ref3D="1" dr="$A$852:$XFD$855" dn="Z_9A752CC5_36AC_48BE_BF4B_1A38C4015906_.wvu.Rows" sId="1"/>
    <undo index="14" exp="area" ref3D="1" dr="$A$806:$XFD$809" dn="Z_9A752CC5_36AC_48BE_BF4B_1A38C4015906_.wvu.Rows" sId="1"/>
    <undo index="12" exp="area" ref3D="1" dr="$A$590:$XFD$591" dn="Z_9A752CC5_36AC_48BE_BF4B_1A38C4015906_.wvu.Rows" sId="1"/>
    <undo index="10" exp="area" ref3D="1" dr="$A$553:$XFD$556" dn="Z_9A752CC5_36AC_48BE_BF4B_1A38C4015906_.wvu.Rows" sId="1"/>
    <undo index="8" exp="area" ref3D="1" dr="$A$539:$XFD$542" dn="Z_9A752CC5_36AC_48BE_BF4B_1A38C4015906_.wvu.Rows" sId="1"/>
    <rfmt sheetId="1" xfDxf="1" sqref="A370:XFD370" start="0" length="0">
      <dxf>
        <font>
          <i/>
          <name val="Times New Roman"/>
          <scheme val="none"/>
        </font>
        <alignment vertical="center" readingOrder="0"/>
      </dxf>
    </rfmt>
    <rcc rId="0" sId="1" s="1" dxf="1">
      <nc r="A370" t="inlineStr">
        <is>
          <t>Муниципальная программа Плесецкого муниципального округа  «Развитие территориального общественного самоуправления Архангельской области</t>
        </is>
      </nc>
      <ndxf>
        <alignment horizontal="justify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370" t="inlineStr">
        <is>
          <t>07 0 00 00000</t>
        </is>
      </nc>
      <ndxf>
        <numFmt numFmtId="164" formatCode="_-* #,##0.00_р_._-;\-* #,##0.00_р_._-;_-* &quot;-&quot;??_р_._-;_-@_-"/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="1" sqref="C370" start="0" length="0">
      <dxf>
        <font>
          <i val="0"/>
          <sz val="10"/>
          <color auto="1"/>
          <name val="Times New Roman"/>
          <scheme val="none"/>
        </font>
        <numFmt numFmtId="166" formatCode="_(* #,##0_);_(* \(#,##0\);_(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D370">
        <f>D376</f>
      </nc>
      <ndxf>
        <font>
          <i val="0"/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70">
        <f>E376</f>
      </nc>
      <ndxf>
        <font>
          <i val="0"/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370">
        <f>F376</f>
      </nc>
      <ndxf>
        <font>
          <i val="0"/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fmt sheetId="1" sqref="C369:C373">
    <dxf>
      <alignment horizontal="general" readingOrder="0"/>
    </dxf>
  </rfmt>
  <rfmt sheetId="1" sqref="C369:C373">
    <dxf>
      <alignment horizontal="center" readingOrder="0"/>
    </dxf>
  </rfmt>
  <rfmt sheetId="1" sqref="C369:C373">
    <dxf>
      <numFmt numFmtId="30" formatCode="@"/>
    </dxf>
  </rfmt>
  <rcc rId="4746" sId="1">
    <oc r="D365">
      <f>#REF!+D366</f>
    </oc>
    <nc r="D365">
      <f>D366+D370</f>
    </nc>
  </rcc>
  <rcc rId="4747" sId="1">
    <oc r="E365">
      <f>#REF!+E366</f>
    </oc>
    <nc r="E365">
      <f>E366+E370</f>
    </nc>
  </rcc>
  <rcc rId="4748" sId="1">
    <oc r="F365">
      <f>#REF!+F366</f>
    </oc>
    <nc r="F365">
      <f>F366+F370</f>
    </nc>
  </rcc>
  <rcc rId="4749" sId="1" numFmtId="34">
    <nc r="D373">
      <v>2487459</v>
    </nc>
  </rcc>
  <rcv guid="{D9B90A86-BE39-4FED-8226-084809D277F3}" action="delete"/>
  <rdn rId="0" localSheetId="1" customView="1" name="Z_D9B90A86_BE39_4FED_8226_084809D277F3_.wvu.PrintArea" hidden="1" oldHidden="1">
    <formula>'программы '!$A$1:$F$949</formula>
    <oldFormula>'программы '!$A$1:$F$949</oldFormula>
  </rdn>
  <rdn rId="0" localSheetId="1" customView="1" name="Z_D9B90A86_BE39_4FED_8226_084809D277F3_.wvu.FilterData" hidden="1" oldHidden="1">
    <formula>'программы '!$C$1:$C$957</formula>
    <oldFormula>'программы '!$C$1:$C$957</oldFormula>
  </rdn>
  <rcv guid="{D9B90A86-BE39-4FED-8226-084809D277F3}" action="add"/>
</revisions>
</file>

<file path=xl/revisions/revisionLog1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374:D375">
    <dxf>
      <alignment horizontal="right" readingOrder="0"/>
    </dxf>
  </rfmt>
  <rfmt sheetId="1" sqref="D374:D375">
    <dxf>
      <alignment horizontal="center" readingOrder="0"/>
    </dxf>
  </rfmt>
  <rfmt sheetId="1" sqref="D374:D375">
    <dxf>
      <alignment horizontal="left" readingOrder="0"/>
    </dxf>
  </rfmt>
  <rfmt sheetId="1" sqref="D374:D375">
    <dxf>
      <alignment horizontal="general" readingOrder="0"/>
    </dxf>
  </rfmt>
  <rfmt sheetId="1" sqref="D374:D375">
    <dxf>
      <alignment horizontal="center" readingOrder="0"/>
    </dxf>
  </rfmt>
  <rfmt sheetId="1" sqref="D374:D375">
    <dxf>
      <alignment horizontal="right" readingOrder="0"/>
    </dxf>
  </rfmt>
  <rcc rId="4752" sId="1" numFmtId="34">
    <oc r="D737">
      <v>472574</v>
    </oc>
    <nc r="D737">
      <f>472574+104520</f>
    </nc>
  </rcc>
  <rfmt sheetId="1" sqref="D737">
    <dxf>
      <fill>
        <patternFill patternType="solid">
          <bgColor rgb="FFFFFF00"/>
        </patternFill>
      </fill>
    </dxf>
  </rfmt>
</revisions>
</file>

<file path=xl/revisions/revisionLog1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53" sId="1" numFmtId="34">
    <oc r="D353">
      <v>78750.289999999994</v>
    </oc>
    <nc r="D353">
      <f>78750.29+63472.76</f>
    </nc>
  </rcc>
  <rfmt sheetId="1" sqref="D353">
    <dxf>
      <fill>
        <patternFill patternType="solid">
          <bgColor rgb="FFFFFF00"/>
        </patternFill>
      </fill>
    </dxf>
  </rfmt>
  <rcc rId="4754" sId="1" numFmtId="34">
    <oc r="D354">
      <v>23782.59</v>
    </oc>
    <nc r="D354">
      <f>23782.59+19168.76</f>
    </nc>
  </rcc>
  <rfmt sheetId="1" sqref="D354">
    <dxf>
      <fill>
        <patternFill patternType="solid">
          <bgColor rgb="FFFFFF00"/>
        </patternFill>
      </fill>
    </dxf>
  </rfmt>
  <rcc rId="4755" sId="1">
    <oc r="D369">
      <f>5000000+344484+87070.87+2381236.58</f>
    </oc>
    <nc r="D369">
      <f>5000000+344484+87070.87+2381236.58+965247</f>
    </nc>
  </rcc>
</revisions>
</file>

<file path=xl/revisions/revisionLog1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56" sId="1" numFmtId="34">
    <oc r="D739">
      <v>460000</v>
    </oc>
    <nc r="D739">
      <f>460000+140000</f>
    </nc>
  </rcc>
  <rfmt sheetId="1" sqref="D739">
    <dxf>
      <fill>
        <patternFill patternType="solid">
          <bgColor rgb="FFFFFF00"/>
        </patternFill>
      </fill>
    </dxf>
  </rfmt>
</revisions>
</file>

<file path=xl/revisions/revisionLog1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57" sId="1">
    <oc r="D369">
      <f>5000000+344484+87070.87+2381236.58+965247</f>
    </oc>
    <nc r="D369">
      <f>5000000+344484+87070.87+2381236.58+965247+749950</f>
    </nc>
  </rcc>
  <rcc rId="4758" sId="1" numFmtId="34">
    <oc r="D373">
      <v>2487459</v>
    </oc>
    <nc r="D373">
      <f>2487459+857288.8</f>
    </nc>
  </rcc>
  <rfmt sheetId="1" sqref="D373">
    <dxf>
      <fill>
        <patternFill patternType="solid">
          <bgColor rgb="FFFFFF00"/>
        </patternFill>
      </fill>
    </dxf>
  </rfmt>
</revisions>
</file>

<file path=xl/revisions/revisionLog1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759" sId="1" ref="A634:XFD634" action="insertRow">
    <undo index="16" exp="area" ref3D="1" dr="$A$851:$XFD$854" dn="Z_9A752CC5_36AC_48BE_BF4B_1A38C4015906_.wvu.Rows" sId="1"/>
    <undo index="14" exp="area" ref3D="1" dr="$A$805:$XFD$808" dn="Z_9A752CC5_36AC_48BE_BF4B_1A38C4015906_.wvu.Rows" sId="1"/>
  </rrc>
  <rrc rId="4760" sId="1" ref="A634:XFD634" action="insertRow">
    <undo index="16" exp="area" ref3D="1" dr="$A$852:$XFD$855" dn="Z_9A752CC5_36AC_48BE_BF4B_1A38C4015906_.wvu.Rows" sId="1"/>
    <undo index="14" exp="area" ref3D="1" dr="$A$806:$XFD$809" dn="Z_9A752CC5_36AC_48BE_BF4B_1A38C4015906_.wvu.Rows" sId="1"/>
  </rrc>
  <rrc rId="4761" sId="1" ref="A634:XFD634" action="insertRow">
    <undo index="16" exp="area" ref3D="1" dr="$A$853:$XFD$856" dn="Z_9A752CC5_36AC_48BE_BF4B_1A38C4015906_.wvu.Rows" sId="1"/>
    <undo index="14" exp="area" ref3D="1" dr="$A$807:$XFD$810" dn="Z_9A752CC5_36AC_48BE_BF4B_1A38C4015906_.wvu.Rows" sId="1"/>
  </rrc>
  <rrc rId="4762" sId="1" ref="A635:XFD635" action="insertRow">
    <undo index="16" exp="area" ref3D="1" dr="$A$854:$XFD$857" dn="Z_9A752CC5_36AC_48BE_BF4B_1A38C4015906_.wvu.Rows" sId="1"/>
    <undo index="14" exp="area" ref3D="1" dr="$A$808:$XFD$811" dn="Z_9A752CC5_36AC_48BE_BF4B_1A38C4015906_.wvu.Rows" sId="1"/>
  </rrc>
  <rcc rId="4763" sId="1">
    <nc r="B637" t="inlineStr">
      <is>
        <t>25 0 00 L5111</t>
      </is>
    </nc>
  </rcc>
  <rcc rId="4764" sId="1">
    <nc r="B636" t="inlineStr">
      <is>
        <t>25 0 00 L5111</t>
      </is>
    </nc>
  </rcc>
  <rcc rId="4765" sId="1">
    <nc r="B635" t="inlineStr">
      <is>
        <t>25 0 00 L5111</t>
      </is>
    </nc>
  </rcc>
  <rcc rId="4766" sId="1">
    <nc r="B634" t="inlineStr">
      <is>
        <t>25 0 00 L5111</t>
      </is>
    </nc>
  </rcc>
  <rcc rId="4767" sId="1">
    <nc r="C637">
      <v>244</v>
    </nc>
  </rcc>
  <rcc rId="4768" sId="1">
    <nc r="C636">
      <v>240</v>
    </nc>
  </rcc>
  <rcc rId="4769" sId="1">
    <nc r="C635">
      <v>200</v>
    </nc>
  </rcc>
  <rcc rId="4770" sId="1">
    <nc r="D636">
      <f>D637</f>
    </nc>
  </rcc>
  <rcc rId="4771" sId="1">
    <nc r="E636">
      <f>E637</f>
    </nc>
  </rcc>
  <rcc rId="4772" sId="1">
    <nc r="F636">
      <f>F637</f>
    </nc>
  </rcc>
  <rcc rId="4773" sId="1">
    <nc r="D635">
      <f>D636</f>
    </nc>
  </rcc>
  <rcc rId="4774" sId="1">
    <nc r="E635">
      <f>E636</f>
    </nc>
  </rcc>
  <rcc rId="4775" sId="1">
    <nc r="F635">
      <f>F636</f>
    </nc>
  </rcc>
  <rcc rId="4776" sId="1">
    <nc r="D634">
      <f>D635</f>
    </nc>
  </rcc>
  <rcc rId="4777" sId="1">
    <nc r="E634">
      <f>E635</f>
    </nc>
  </rcc>
  <rcc rId="4778" sId="1">
    <nc r="F634">
      <f>F635</f>
    </nc>
  </rcc>
  <rfmt sheetId="1" sqref="A634:XFD637">
    <dxf>
      <fill>
        <patternFill patternType="solid">
          <bgColor rgb="FFFFFF00"/>
        </patternFill>
      </fill>
    </dxf>
  </rfmt>
  <rcc rId="4779" sId="1">
    <nc r="A637" t="inlineStr">
      <is>
        <t>Прочая закупка товаров, работ и услуг</t>
      </is>
    </nc>
  </rcc>
  <rcc rId="4780" sId="1" xfDxf="1" dxf="1">
    <nc r="A636" t="inlineStr">
      <is>
        <t>Иные закупки товаров,работ и услуг для обеспечения государственных (муниципальных) нужд</t>
      </is>
    </nc>
    <ndxf>
      <font>
        <name val="Times New Roman"/>
        <scheme val="none"/>
      </font>
      <fill>
        <patternFill patternType="solid">
          <bgColor rgb="FFFFFF0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781" sId="1">
    <nc r="A635" t="inlineStr">
      <is>
        <t>Закупка товаров, работ и услуг для обеспечения государственных (муниципальных) нужд</t>
      </is>
    </nc>
  </rcc>
  <rcc rId="4782" sId="1">
    <nc r="A634" t="inlineStr">
      <is>
        <t>Проведение комплексных кадастровых работ</t>
      </is>
    </nc>
  </rcc>
  <rcc rId="4783" sId="1" numFmtId="34">
    <nc r="D637">
      <v>1159368.6200000001</v>
    </nc>
  </rcc>
  <rcc rId="4784" sId="1">
    <oc r="D629">
      <f>D630+D638</f>
    </oc>
    <nc r="D629">
      <f>D630+D638+D634</f>
    </nc>
  </rcc>
  <rcc rId="4785" sId="1">
    <oc r="E629">
      <f>E630+E638</f>
    </oc>
    <nc r="E629">
      <f>E630+E638+E634</f>
    </nc>
  </rcc>
  <rcc rId="4786" sId="1">
    <oc r="F629">
      <f>F630+F638</f>
    </oc>
    <nc r="F629">
      <f>F630+F638+F634</f>
    </nc>
  </rcc>
  <rcc rId="4787" sId="1" numFmtId="34">
    <oc r="D641">
      <v>719100</v>
    </oc>
    <nc r="D641">
      <f>719100-124036.86</f>
    </nc>
  </rcc>
  <rfmt sheetId="1" sqref="D641">
    <dxf>
      <fill>
        <patternFill patternType="solid">
          <bgColor rgb="FFFFFF00"/>
        </patternFill>
      </fill>
    </dxf>
  </rfmt>
  <rcc rId="4788" sId="1" numFmtId="34">
    <oc r="D143">
      <v>26819445.579999998</v>
    </oc>
    <nc r="D143">
      <f>26819445.58+6672754.28</f>
    </nc>
  </rcc>
  <rfmt sheetId="1" sqref="D143">
    <dxf>
      <fill>
        <patternFill patternType="solid">
          <bgColor rgb="FFFFFF00"/>
        </patternFill>
      </fill>
    </dxf>
  </rfmt>
</revisions>
</file>

<file path=xl/revisions/revisionLog13.xml><?xml version="1.0" encoding="utf-8"?>
<revisions xmlns="http://schemas.openxmlformats.org/spreadsheetml/2006/main" xmlns:r="http://schemas.openxmlformats.org/officeDocument/2006/relationships">
  <rfmt sheetId="1" sqref="A837" start="0" length="0">
    <dxf/>
  </rfmt>
  <rcc rId="5155" sId="1" xfDxf="1" dxf="1">
    <oc r="A837" t="inlineStr">
      <is>
        <t>Расходы по независимой оценке стоимости имущества, для целей выплаты возмещения гражданам за принадлежащие им жилые помещения при изъятии земельных участков, на которых расположены аварийные дома, признанные аварийными, в которых находятся жилые помещения</t>
      </is>
    </oc>
    <nc r="A837" t="inlineStr">
      <is>
        <t>Расходы на проведение независимой оценки стоимости имущества, для целей выплаты возмещения гражданам за принадлежащие им жилые помещения при изъятии земельных участков, на которых расположены аварийные дома, признанные аварийными, в которых находятся жилые помещения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dn rId="0" localSheetId="1" customView="1" name="Z_9A752CC5_36AC_48BE_BF4B_1A38C4015906_.wvu.Rows" hidden="1" oldHidden="1">
    <oldFormula>'программы '!$75:$78,'программы '!$166:$169,'программы '!$338:$341,'программы '!$362:$364,'программы '!$552:$555,'программы '!$566:$569,'программы '!$603:$604,'программы '!$829:$832,'программы '!$879:$882</oldFormula>
  </rdn>
  <rcv guid="{9A752CC5-36AC-48BE-BF4B-1A38C4015906}" action="delete"/>
  <rdn rId="0" localSheetId="1" customView="1" name="Z_9A752CC5_36AC_48BE_BF4B_1A38C4015906_.wvu.PrintArea" hidden="1" oldHidden="1">
    <formula>'программы '!$A$1:$F$987</formula>
    <oldFormula>'программы '!$A$1:$F$987</oldFormula>
  </rdn>
  <rdn rId="0" localSheetId="1" customView="1" name="Z_9A752CC5_36AC_48BE_BF4B_1A38C4015906_.wvu.FilterData" hidden="1" oldHidden="1">
    <formula>'программы '!$B$1:$B$995</formula>
    <oldFormula>'программы '!$C$1:$C$995</oldFormula>
  </rdn>
  <rcv guid="{9A752CC5-36AC-48BE-BF4B-1A38C4015906}" action="add"/>
</revisions>
</file>

<file path=xl/revisions/revisionLog1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89" sId="1" numFmtId="34">
    <oc r="E460">
      <v>772411</v>
    </oc>
    <nc r="E460">
      <f>772411+11027428.16</f>
    </nc>
  </rcc>
  <rfmt sheetId="1" sqref="E460">
    <dxf>
      <fill>
        <patternFill patternType="solid">
          <bgColor rgb="FFFFFF00"/>
        </patternFill>
      </fill>
    </dxf>
  </rfmt>
</revisions>
</file>

<file path=xl/revisions/revisionLog1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90" sId="1" numFmtId="34">
    <oc r="D35">
      <v>54932575.219999999</v>
    </oc>
    <nc r="D35">
      <f>54932575.22-984473.45</f>
    </nc>
  </rcc>
  <rfmt sheetId="1" sqref="D35">
    <dxf>
      <fill>
        <patternFill patternType="solid">
          <bgColor rgb="FFFFFF00"/>
        </patternFill>
      </fill>
    </dxf>
  </rfmt>
  <rcc rId="4791" sId="1" numFmtId="34">
    <oc r="D38">
      <v>2659965.94</v>
    </oc>
    <nc r="D38">
      <f>2659965.94+984473.45</f>
    </nc>
  </rcc>
  <rfmt sheetId="1" sqref="D38">
    <dxf>
      <fill>
        <patternFill patternType="solid">
          <bgColor rgb="FFFFFF00"/>
        </patternFill>
      </fill>
    </dxf>
  </rfmt>
</revisions>
</file>

<file path=xl/revisions/revisionLog1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792" sId="1" ref="A930:XFD930" action="insertRow"/>
  <rcc rId="4793" sId="1">
    <nc r="C930">
      <v>243</v>
    </nc>
  </rcc>
  <rcc rId="4794" sId="1">
    <nc r="B930" t="inlineStr">
      <is>
        <t>67 0 00 S8890</t>
      </is>
    </nc>
  </rcc>
  <rcc rId="4795" sId="1" odxf="1" dxf="1">
    <nc r="A930" t="inlineStr">
      <is>
        <t>Закупка товаров, работ, услуг в целях капитального
ремонта государственного (муниципального) имущества</t>
      </is>
    </nc>
    <odxf>
      <alignment wrapText="0" readingOrder="0"/>
    </odxf>
    <ndxf>
      <alignment wrapText="1" readingOrder="0"/>
    </ndxf>
  </rcc>
  <rcc rId="4796" sId="1" numFmtId="34">
    <nc r="D930">
      <v>2850000</v>
    </nc>
  </rcc>
  <rcc rId="4797" sId="1">
    <oc r="D929">
      <f>D931</f>
    </oc>
    <nc r="D929">
      <f>D931+D930</f>
    </nc>
  </rcc>
  <rcc rId="4798" sId="1">
    <oc r="E929">
      <f>E931</f>
    </oc>
    <nc r="E929">
      <f>E931+E930</f>
    </nc>
  </rcc>
  <rcc rId="4799" sId="1">
    <oc r="F929">
      <f>F931</f>
    </oc>
    <nc r="F929">
      <f>F931+F930</f>
    </nc>
  </rcc>
</revisions>
</file>

<file path=xl/revisions/revisionLog1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930:XFD930">
    <dxf>
      <fill>
        <patternFill>
          <bgColor rgb="FFFFFF00"/>
        </patternFill>
      </fill>
    </dxf>
  </rfmt>
  <rcc rId="4800" sId="1" numFmtId="34">
    <oc r="D931">
      <v>11409500</v>
    </oc>
    <nc r="D931">
      <f>11409500-2850000</f>
    </nc>
  </rcc>
  <rfmt sheetId="1" sqref="D931">
    <dxf>
      <fill>
        <patternFill patternType="solid">
          <bgColor rgb="FFFFFF00"/>
        </patternFill>
      </fill>
    </dxf>
  </rfmt>
  <rrc rId="4801" sId="1" ref="A940:XFD940" action="insertRow"/>
  <rcc rId="4802" sId="1">
    <nc r="C940">
      <v>243</v>
    </nc>
  </rcc>
  <rcc rId="4803" sId="1">
    <nc r="B940" t="inlineStr">
      <is>
        <t>67 0 00 88890</t>
      </is>
    </nc>
  </rcc>
  <rcc rId="4804" sId="1" odxf="1" dxf="1">
    <nc r="A940" t="inlineStr">
      <is>
        <t>Закупка товаров, работ, услуг в целях капитального
ремонта государственного (муниципального) имущества</t>
      </is>
    </nc>
    <odxf>
      <alignment wrapText="0" readingOrder="0"/>
    </odxf>
    <ndxf>
      <alignment wrapText="1" readingOrder="0"/>
    </ndxf>
  </rcc>
  <rcc rId="4805" sId="1">
    <oc r="D939">
      <f>D941</f>
    </oc>
    <nc r="D939">
      <f>D941+D940</f>
    </nc>
  </rcc>
  <rcc rId="4806" sId="1">
    <oc r="E939">
      <f>E941</f>
    </oc>
    <nc r="E939">
      <f>E941+E940</f>
    </nc>
  </rcc>
  <rcc rId="4807" sId="1">
    <oc r="F939">
      <f>F941</f>
    </oc>
    <nc r="F939">
      <f>F941+F940</f>
    </nc>
  </rcc>
  <rcc rId="4808" sId="1" numFmtId="34">
    <nc r="D940">
      <v>150000</v>
    </nc>
  </rcc>
  <rfmt sheetId="1" sqref="A940:XFD940">
    <dxf>
      <fill>
        <patternFill>
          <bgColor rgb="FFFFFF00"/>
        </patternFill>
      </fill>
    </dxf>
  </rfmt>
  <rfmt sheetId="1" sqref="D941">
    <dxf>
      <fill>
        <patternFill patternType="solid">
          <bgColor rgb="FFFFFF00"/>
        </patternFill>
      </fill>
    </dxf>
  </rfmt>
  <rcc rId="4809" sId="1" numFmtId="34">
    <oc r="D941">
      <v>600500</v>
    </oc>
    <nc r="D941">
      <f>600500-150000</f>
    </nc>
  </rcc>
</revisions>
</file>

<file path=xl/revisions/revisionLog1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810" sId="1" ref="A735:XFD735" action="insertRow">
    <undo index="16" exp="area" ref3D="1" dr="$A$855:$XFD$858" dn="Z_9A752CC5_36AC_48BE_BF4B_1A38C4015906_.wvu.Rows" sId="1"/>
    <undo index="14" exp="area" ref3D="1" dr="$A$809:$XFD$812" dn="Z_9A752CC5_36AC_48BE_BF4B_1A38C4015906_.wvu.Rows" sId="1"/>
  </rrc>
  <rcc rId="4811" sId="1">
    <nc r="C735">
      <v>243</v>
    </nc>
  </rcc>
  <rfmt sheetId="1" sqref="A735:XFD735">
    <dxf>
      <fill>
        <patternFill patternType="solid">
          <bgColor rgb="FFFFFF00"/>
        </patternFill>
      </fill>
    </dxf>
  </rfmt>
  <rcc rId="4812" sId="1">
    <nc r="B735" t="inlineStr">
      <is>
        <t>55 0 00 71400</t>
      </is>
    </nc>
  </rcc>
  <rcc rId="4813" sId="1">
    <nc r="A735" t="inlineStr">
      <is>
        <t>Закупка товаров, работ, услуг в целях капитального
ремонта государственного (муниципального) имущества</t>
      </is>
    </nc>
  </rcc>
  <rcc rId="4814" sId="1">
    <oc r="D734">
      <f>D736</f>
    </oc>
    <nc r="D734">
      <f>D736+D735</f>
    </nc>
  </rcc>
  <rcc rId="4815" sId="1">
    <oc r="E734">
      <f>E736</f>
    </oc>
    <nc r="E734">
      <f>E736+E735</f>
    </nc>
  </rcc>
  <rcc rId="4816" sId="1">
    <oc r="F734">
      <f>F736</f>
    </oc>
    <nc r="F734">
      <f>F736+F735</f>
    </nc>
  </rcc>
  <rcc rId="4817" sId="1" numFmtId="34">
    <nc r="D735">
      <v>9233378.3000000007</v>
    </nc>
  </rcc>
</revisions>
</file>

<file path=xl/revisions/revisionLog1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18" sId="1">
    <oc r="A806" t="inlineStr">
      <is>
        <t>Софинансирование на противоаварийные мероприятия и ремонтно-восстановительные работы по проведению текущего ремонта жилищного фонда</t>
      </is>
    </oc>
    <nc r="A806" t="inlineStr">
      <is>
        <t>Софинансирование на противоаварийные мероприятия и ремонтно-восстановительные работы по проведению ремонта жилищного фонда</t>
      </is>
    </nc>
  </rcc>
  <rfmt sheetId="1" sqref="A806">
    <dxf>
      <fill>
        <patternFill patternType="solid">
          <bgColor rgb="FFFFFF00"/>
        </patternFill>
      </fill>
    </dxf>
  </rfmt>
</revisions>
</file>

<file path=xl/revisions/revisionLog1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819" sId="1" ref="A809:XFD809" action="insertRow">
    <undo index="16" exp="area" ref3D="1" dr="$A$856:$XFD$859" dn="Z_9A752CC5_36AC_48BE_BF4B_1A38C4015906_.wvu.Rows" sId="1"/>
    <undo index="14" exp="area" ref3D="1" dr="$A$810:$XFD$813" dn="Z_9A752CC5_36AC_48BE_BF4B_1A38C4015906_.wvu.Rows" sId="1"/>
  </rrc>
  <rcc rId="4820" sId="1">
    <nc r="C809">
      <v>243</v>
    </nc>
  </rcc>
  <rcc rId="4821" sId="1">
    <nc r="B809" t="inlineStr">
      <is>
        <t>59 0 00 83659</t>
      </is>
    </nc>
  </rcc>
  <rcc rId="4822" sId="1" odxf="1" dxf="1">
    <nc r="A809" t="inlineStr">
      <is>
        <t>Закупка товаров, работ, услуг в целях капитального
ремонта государственного (муниципального) имущества</t>
      </is>
    </nc>
    <odxf>
      <alignment wrapText="0" readingOrder="0"/>
    </odxf>
    <ndxf>
      <alignment wrapText="1" readingOrder="0"/>
    </ndxf>
  </rcc>
  <rcc rId="4823" sId="1">
    <oc r="D808">
      <f>D810</f>
    </oc>
    <nc r="D808">
      <f>D810+D809</f>
    </nc>
  </rcc>
  <rcc rId="4824" sId="1">
    <oc r="E808">
      <f>E810</f>
    </oc>
    <nc r="E808">
      <f>E810+E809</f>
    </nc>
  </rcc>
  <rcc rId="4825" sId="1">
    <oc r="F808">
      <f>F810</f>
    </oc>
    <nc r="F808">
      <f>F810+F809</f>
    </nc>
  </rcc>
  <rcc rId="4826" sId="1" numFmtId="34">
    <nc r="D809">
      <v>9833380</v>
    </nc>
  </rcc>
  <rfmt sheetId="1" sqref="D809">
    <dxf>
      <fill>
        <patternFill patternType="solid">
          <bgColor rgb="FFFFFF00"/>
        </patternFill>
      </fill>
    </dxf>
  </rfmt>
  <rcc rId="4827" sId="1" numFmtId="34">
    <oc r="D810">
      <v>9233380</v>
    </oc>
    <nc r="D810">
      <f>9233380-9233380</f>
    </nc>
  </rcc>
  <rfmt sheetId="1" sqref="D810">
    <dxf>
      <fill>
        <patternFill patternType="solid">
          <bgColor rgb="FFFFFF00"/>
        </patternFill>
      </fill>
    </dxf>
  </rfmt>
</revisions>
</file>

<file path=xl/revisions/revisionLog1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28" sId="1" numFmtId="34">
    <oc r="D559">
      <v>45921098.280000001</v>
    </oc>
    <nc r="D559">
      <f>45921098.28-17150081.74</f>
    </nc>
  </rcc>
  <rfmt sheetId="1" sqref="D559">
    <dxf>
      <fill>
        <patternFill patternType="solid">
          <bgColor rgb="FFFFFF00"/>
        </patternFill>
      </fill>
    </dxf>
  </rfmt>
</revisions>
</file>

<file path=xl/revisions/revisionLog1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29" sId="1">
    <oc r="D532">
      <f>55099.99+1375048.64</f>
    </oc>
    <nc r="D532">
      <f>55099.99+1375048.64-600000</f>
    </nc>
  </rcc>
  <rfmt sheetId="1" sqref="D532">
    <dxf>
      <fill>
        <patternFill patternType="solid">
          <bgColor rgb="FFFFFF00"/>
        </patternFill>
      </fill>
    </dxf>
  </rfmt>
</revisions>
</file>

<file path=xl/revisions/revisionLog1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779" sId="1" ref="A83:XFD83" action="insertRow">
    <undo index="0" exp="area" ref3D="1" dr="$A$232:$XFD$236" dn="Z_30E81E54_DD45_4653_9DCD_548F6723F554_.wvu.Rows" sId="1"/>
  </rrc>
  <rrc rId="2780" sId="1" ref="A83:XFD83" action="insertRow">
    <undo index="0" exp="area" ref3D="1" dr="$A$233:$XFD$237" dn="Z_30E81E54_DD45_4653_9DCD_548F6723F554_.wvu.Rows" sId="1"/>
  </rrc>
  <rrc rId="2781" sId="1" ref="A83:XFD83" action="insertRow">
    <undo index="0" exp="area" ref3D="1" dr="$A$234:$XFD$238" dn="Z_30E81E54_DD45_4653_9DCD_548F6723F554_.wvu.Rows" sId="1"/>
  </rrc>
  <rcc rId="2782" sId="1" odxf="1" dxf="1">
    <nc r="A83" t="inlineStr">
      <is>
        <t>Закупка товаров, работ и услуг для обеспечения государственных (муниципальных) нужд</t>
      </is>
    </nc>
    <odxf>
      <alignment vertical="center" readingOrder="0"/>
      <border outline="0">
        <top style="thin">
          <color indexed="64"/>
        </top>
        <bottom/>
      </border>
    </odxf>
    <ndxf>
      <alignment vertical="top" readingOrder="0"/>
      <border outline="0">
        <top/>
        <bottom style="thin">
          <color indexed="64"/>
        </bottom>
      </border>
    </ndxf>
  </rcc>
  <rcc rId="2783" sId="1" odxf="1" dxf="1">
    <nc r="A84" t="inlineStr">
      <is>
        <t>Иные закупки товаров,работ и услуг для обеспечения государственных (муниципальных) нужд</t>
      </is>
    </nc>
    <odxf>
      <alignment vertical="center" readingOrder="0"/>
      <border outline="0">
        <top style="thin">
          <color indexed="64"/>
        </top>
        <bottom/>
      </border>
    </odxf>
    <ndxf>
      <alignment vertical="top" readingOrder="0"/>
      <border outline="0">
        <top/>
        <bottom style="thin">
          <color indexed="64"/>
        </bottom>
      </border>
    </ndxf>
  </rcc>
  <rcc rId="2784" sId="1" odxf="1" dxf="1">
    <nc r="A85" t="inlineStr">
      <is>
        <t xml:space="preserve">Прочая закупка товаров, работ и услуг </t>
      </is>
    </nc>
    <odxf>
      <alignment vertical="center" readingOrder="0"/>
      <border outline="0">
        <top style="thin">
          <color indexed="64"/>
        </top>
        <bottom/>
      </border>
    </odxf>
    <ndxf>
      <alignment vertical="top" readingOrder="0"/>
      <border outline="0">
        <top/>
        <bottom style="thin">
          <color indexed="64"/>
        </bottom>
      </border>
    </ndxf>
  </rcc>
  <rcc rId="2785" sId="1">
    <nc r="B85" t="inlineStr">
      <is>
        <t>03 2 00 80450</t>
      </is>
    </nc>
  </rcc>
  <rcc rId="2786" sId="1">
    <nc r="B84" t="inlineStr">
      <is>
        <t>03 2 00 80450</t>
      </is>
    </nc>
  </rcc>
  <rcc rId="2787" sId="1">
    <nc r="B83" t="inlineStr">
      <is>
        <t>03 2 00 80450</t>
      </is>
    </nc>
  </rcc>
  <rcc rId="2788" sId="1">
    <nc r="C83">
      <v>200</v>
    </nc>
  </rcc>
  <rcc rId="2789" sId="1">
    <nc r="C84">
      <v>240</v>
    </nc>
  </rcc>
  <rcc rId="2790" sId="1">
    <nc r="C85">
      <v>244</v>
    </nc>
  </rcc>
  <rcc rId="2791" sId="1" numFmtId="34">
    <nc r="D85">
      <v>253536</v>
    </nc>
  </rcc>
  <rcc rId="2792" sId="1" numFmtId="34">
    <nc r="E85">
      <v>0</v>
    </nc>
  </rcc>
  <rcc rId="2793" sId="1" numFmtId="34">
    <nc r="F85">
      <v>0</v>
    </nc>
  </rcc>
  <rcc rId="2794" sId="1">
    <nc r="D84">
      <f>D85</f>
    </nc>
  </rcc>
  <rcc rId="2795" sId="1">
    <nc r="E84">
      <f>E85</f>
    </nc>
  </rcc>
  <rcc rId="2796" sId="1">
    <nc r="F84">
      <f>F85</f>
    </nc>
  </rcc>
  <rcc rId="2797" sId="1">
    <nc r="D83">
      <f>D84</f>
    </nc>
  </rcc>
  <rcc rId="2798" sId="1">
    <nc r="E83">
      <f>E84</f>
    </nc>
  </rcc>
  <rcc rId="2799" sId="1">
    <nc r="F83">
      <f>F84</f>
    </nc>
  </rcc>
  <rcc rId="2800" sId="1">
    <oc r="D82">
      <f>D87</f>
    </oc>
    <nc r="D82">
      <f>D87+D83</f>
    </nc>
  </rcc>
  <rcc rId="2801" sId="1">
    <oc r="E82">
      <f>E87</f>
    </oc>
    <nc r="E82">
      <f>E87+E83</f>
    </nc>
  </rcc>
  <rcc rId="2802" sId="1">
    <oc r="F82">
      <f>F87</f>
    </oc>
    <nc r="F82">
      <f>F87+F83</f>
    </nc>
  </rcc>
  <rcv guid="{30E81E54-DD45-4653-9DCD-548F6723F554}" action="delete"/>
  <rdn rId="0" localSheetId="1" customView="1" name="Z_30E81E54_DD45_4653_9DCD_548F6723F554_.wvu.PrintArea" hidden="1" oldHidden="1">
    <formula>'программы '!$A$1:$F$757</formula>
    <oldFormula>'программы '!$A$1:$F$757</oldFormula>
  </rdn>
  <rdn rId="0" localSheetId="1" customView="1" name="Z_30E81E54_DD45_4653_9DCD_548F6723F554_.wvu.Rows" hidden="1" oldHidden="1">
    <formula>'программы '!$235:$239</formula>
    <oldFormula>'программы '!$235:$239</oldFormula>
  </rdn>
  <rdn rId="0" localSheetId="1" customView="1" name="Z_30E81E54_DD45_4653_9DCD_548F6723F554_.wvu.FilterData" hidden="1" oldHidden="1">
    <formula>'программы '!$A$1:$A$770</formula>
    <oldFormula>'программы '!$A$1:$A$770</oldFormula>
  </rdn>
  <rcv guid="{30E81E54-DD45-4653-9DCD-548F6723F554}" action="add"/>
</revisions>
</file>

<file path=xl/revisions/revisionLog13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830" sId="1" ref="A537:XFD537" action="insertRow">
    <undo index="16" exp="area" ref3D="1" dr="$A$857:$XFD$860" dn="Z_9A752CC5_36AC_48BE_BF4B_1A38C4015906_.wvu.Rows" sId="1"/>
    <undo index="14" exp="area" ref3D="1" dr="$A$811:$XFD$814" dn="Z_9A752CC5_36AC_48BE_BF4B_1A38C4015906_.wvu.Rows" sId="1"/>
    <undo index="12" exp="area" ref3D="1" dr="$A$589:$XFD$590" dn="Z_9A752CC5_36AC_48BE_BF4B_1A38C4015906_.wvu.Rows" sId="1"/>
    <undo index="10" exp="area" ref3D="1" dr="$A$552:$XFD$555" dn="Z_9A752CC5_36AC_48BE_BF4B_1A38C4015906_.wvu.Rows" sId="1"/>
    <undo index="8" exp="area" ref3D="1" dr="$A$538:$XFD$541" dn="Z_9A752CC5_36AC_48BE_BF4B_1A38C4015906_.wvu.Rows" sId="1"/>
  </rrc>
  <rrc rId="4831" sId="1" ref="A537:XFD537" action="insertRow">
    <undo index="16" exp="area" ref3D="1" dr="$A$858:$XFD$861" dn="Z_9A752CC5_36AC_48BE_BF4B_1A38C4015906_.wvu.Rows" sId="1"/>
    <undo index="14" exp="area" ref3D="1" dr="$A$812:$XFD$815" dn="Z_9A752CC5_36AC_48BE_BF4B_1A38C4015906_.wvu.Rows" sId="1"/>
    <undo index="12" exp="area" ref3D="1" dr="$A$590:$XFD$591" dn="Z_9A752CC5_36AC_48BE_BF4B_1A38C4015906_.wvu.Rows" sId="1"/>
    <undo index="10" exp="area" ref3D="1" dr="$A$553:$XFD$556" dn="Z_9A752CC5_36AC_48BE_BF4B_1A38C4015906_.wvu.Rows" sId="1"/>
    <undo index="8" exp="area" ref3D="1" dr="$A$539:$XFD$542" dn="Z_9A752CC5_36AC_48BE_BF4B_1A38C4015906_.wvu.Rows" sId="1"/>
  </rrc>
  <rrc rId="4832" sId="1" ref="A537:XFD537" action="insertRow">
    <undo index="16" exp="area" ref3D="1" dr="$A$859:$XFD$862" dn="Z_9A752CC5_36AC_48BE_BF4B_1A38C4015906_.wvu.Rows" sId="1"/>
    <undo index="14" exp="area" ref3D="1" dr="$A$813:$XFD$816" dn="Z_9A752CC5_36AC_48BE_BF4B_1A38C4015906_.wvu.Rows" sId="1"/>
    <undo index="12" exp="area" ref3D="1" dr="$A$591:$XFD$592" dn="Z_9A752CC5_36AC_48BE_BF4B_1A38C4015906_.wvu.Rows" sId="1"/>
    <undo index="10" exp="area" ref3D="1" dr="$A$554:$XFD$557" dn="Z_9A752CC5_36AC_48BE_BF4B_1A38C4015906_.wvu.Rows" sId="1"/>
    <undo index="8" exp="area" ref3D="1" dr="$A$540:$XFD$543" dn="Z_9A752CC5_36AC_48BE_BF4B_1A38C4015906_.wvu.Rows" sId="1"/>
  </rrc>
  <rrc rId="4833" sId="1" ref="A537:XFD537" action="insertRow">
    <undo index="16" exp="area" ref3D="1" dr="$A$860:$XFD$863" dn="Z_9A752CC5_36AC_48BE_BF4B_1A38C4015906_.wvu.Rows" sId="1"/>
    <undo index="14" exp="area" ref3D="1" dr="$A$814:$XFD$817" dn="Z_9A752CC5_36AC_48BE_BF4B_1A38C4015906_.wvu.Rows" sId="1"/>
    <undo index="12" exp="area" ref3D="1" dr="$A$592:$XFD$593" dn="Z_9A752CC5_36AC_48BE_BF4B_1A38C4015906_.wvu.Rows" sId="1"/>
    <undo index="10" exp="area" ref3D="1" dr="$A$555:$XFD$558" dn="Z_9A752CC5_36AC_48BE_BF4B_1A38C4015906_.wvu.Rows" sId="1"/>
    <undo index="8" exp="area" ref3D="1" dr="$A$541:$XFD$544" dn="Z_9A752CC5_36AC_48BE_BF4B_1A38C4015906_.wvu.Rows" sId="1"/>
  </rrc>
  <rcc rId="4834" sId="1">
    <nc r="C540">
      <v>244</v>
    </nc>
  </rcc>
  <rcc rId="4835" sId="1">
    <nc r="C539">
      <v>240</v>
    </nc>
  </rcc>
  <rcc rId="4836" sId="1">
    <nc r="C538">
      <v>200</v>
    </nc>
  </rcc>
  <rcc rId="4837" sId="1">
    <nc r="B540" t="inlineStr">
      <is>
        <t>17 0 00 Э8840</t>
      </is>
    </nc>
  </rcc>
  <rcc rId="4838" sId="1">
    <nc r="B539" t="inlineStr">
      <is>
        <t>17 0 00 Э8840</t>
      </is>
    </nc>
  </rcc>
  <rcc rId="4839" sId="1">
    <nc r="B538" t="inlineStr">
      <is>
        <t>17 0 00 Э8840</t>
      </is>
    </nc>
  </rcc>
  <rcc rId="4840" sId="1">
    <nc r="B537" t="inlineStr">
      <is>
        <t>17 0 00 Э8840</t>
      </is>
    </nc>
  </rcc>
  <rcc rId="4841" sId="1">
    <nc r="A540" t="inlineStr">
      <is>
        <t>Прочая закупка товаров, работ и услуг</t>
      </is>
    </nc>
  </rcc>
  <rcc rId="4842" sId="1">
    <nc r="A539" t="inlineStr">
      <is>
        <t>Иные закупки товаров, работ и услуг для обеспечения государственных (муниципальных) нужд</t>
      </is>
    </nc>
  </rcc>
  <rcc rId="4843" sId="1">
    <nc r="A538" t="inlineStr">
      <is>
        <t>Закупка товаров, работ и услуг для обеспечения государственных (муниципальных) нужд</t>
      </is>
    </nc>
  </rcc>
  <rcc rId="4844" sId="1">
    <nc r="A537" t="inlineStr">
      <is>
        <t>Благоустройство территорий и приобретение уборочной и коммунальной техники</t>
      </is>
    </nc>
  </rcc>
  <rcc rId="4845" sId="1">
    <nc r="D539">
      <f>D540</f>
    </nc>
  </rcc>
  <rcc rId="4846" sId="1">
    <nc r="E539">
      <f>E540</f>
    </nc>
  </rcc>
  <rcc rId="4847" sId="1">
    <nc r="F539">
      <f>F540</f>
    </nc>
  </rcc>
  <rcc rId="4848" sId="1">
    <nc r="D538">
      <f>D539</f>
    </nc>
  </rcc>
  <rcc rId="4849" sId="1">
    <nc r="E538">
      <f>E539</f>
    </nc>
  </rcc>
  <rcc rId="4850" sId="1">
    <nc r="F538">
      <f>F539</f>
    </nc>
  </rcc>
  <rcc rId="4851" sId="1">
    <nc r="D537">
      <f>D538</f>
    </nc>
  </rcc>
  <rcc rId="4852" sId="1">
    <nc r="E537">
      <f>E538</f>
    </nc>
  </rcc>
  <rcc rId="4853" sId="1">
    <nc r="F537">
      <f>F538</f>
    </nc>
  </rcc>
  <rfmt sheetId="1" sqref="A537:XFD540">
    <dxf>
      <fill>
        <patternFill>
          <bgColor rgb="FFFFFF00"/>
        </patternFill>
      </fill>
    </dxf>
  </rfmt>
  <rcc rId="4854" sId="1">
    <oc r="D528">
      <f>D541+D529+D533</f>
    </oc>
    <nc r="D528">
      <f>D541+D529+D533+D537</f>
    </nc>
  </rcc>
  <rcc rId="4855" sId="1">
    <oc r="E528">
      <f>E541+E529+E533</f>
    </oc>
    <nc r="E528">
      <f>E541+E529+E533+E537</f>
    </nc>
  </rcc>
  <rcc rId="4856" sId="1">
    <oc r="F528">
      <f>F541+F529+F533</f>
    </oc>
    <nc r="F528">
      <f>F541+F529+F533+F537</f>
    </nc>
  </rcc>
  <rcc rId="4857" sId="1" numFmtId="34">
    <nc r="E540">
      <v>31215680.18</v>
    </nc>
  </rcc>
  <rcv guid="{D9B90A86-BE39-4FED-8226-084809D277F3}" action="delete"/>
  <rdn rId="0" localSheetId="1" customView="1" name="Z_D9B90A86_BE39_4FED_8226_084809D277F3_.wvu.PrintArea" hidden="1" oldHidden="1">
    <formula>'программы '!$A$1:$F$961</formula>
    <oldFormula>'программы '!$A$1:$F$961</oldFormula>
  </rdn>
  <rdn rId="0" localSheetId="1" customView="1" name="Z_D9B90A86_BE39_4FED_8226_084809D277F3_.wvu.FilterData" hidden="1" oldHidden="1">
    <formula>'программы '!$C$1:$C$969</formula>
    <oldFormula>'программы '!$C$1:$C$969</oldFormula>
  </rdn>
  <rcv guid="{D9B90A86-BE39-4FED-8226-084809D277F3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4620" sId="1" numFmtId="34">
    <oc r="D73">
      <v>927855</v>
    </oc>
    <nc r="D73">
      <f>927855+15800</f>
    </nc>
  </rcc>
  <rcc rId="4621" sId="1" numFmtId="34">
    <oc r="D126">
      <v>1057252</v>
    </oc>
    <nc r="D126">
      <f>1057252-15800</f>
    </nc>
  </rcc>
  <rcv guid="{9A752CC5-36AC-48BE-BF4B-1A38C4015906}" action="delete"/>
  <rdn rId="0" localSheetId="1" customView="1" name="Z_9A752CC5_36AC_48BE_BF4B_1A38C4015906_.wvu.PrintArea" hidden="1" oldHidden="1">
    <formula>'программы '!$A$1:$F$937</formula>
    <oldFormula>'программы '!$A$1:$F$937</oldFormula>
  </rdn>
  <rdn rId="0" localSheetId="1" customView="1" name="Z_9A752CC5_36AC_48BE_BF4B_1A38C4015906_.wvu.Rows" hidden="1" oldHidden="1">
    <formula>'программы '!$75:$78,'программы '!$162:$165,'программы '!$327:$330,'программы '!$348:$350,'программы '!$528:$531,'программы '!$542:$545,'программы '!$579:$580,'программы '!$794:$797,'программы '!$840:$843</formula>
    <oldFormula>'программы '!$75:$78,'программы '!$162:$165,'программы '!$327:$330,'программы '!$348:$350,'программы '!$528:$531,'программы '!$542:$545,'программы '!$579:$580,'программы '!$794:$797,'программы '!$840:$843</oldFormula>
  </rdn>
  <rdn rId="0" localSheetId="1" customView="1" name="Z_9A752CC5_36AC_48BE_BF4B_1A38C4015906_.wvu.FilterData" hidden="1" oldHidden="1">
    <formula>'программы '!$C$1:$C$945</formula>
    <oldFormula>'программы '!$C$1:$C$945</oldFormula>
  </rdn>
  <rcv guid="{9A752CC5-36AC-48BE-BF4B-1A38C4015906}" action="add"/>
</revisions>
</file>

<file path=xl/revisions/revisionLog1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60" sId="1" numFmtId="34">
    <oc r="D549">
      <v>5042333.07</v>
    </oc>
    <nc r="D549">
      <f>5042333.07-17.14</f>
    </nc>
  </rcc>
  <rfmt sheetId="1" sqref="D549">
    <dxf>
      <fill>
        <patternFill patternType="solid">
          <bgColor rgb="FFFFFF00"/>
        </patternFill>
      </fill>
    </dxf>
  </rfmt>
</revisions>
</file>

<file path=xl/revisions/revisionLog1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61" sId="1" numFmtId="34">
    <nc r="F540">
      <v>49042818.079999998</v>
    </nc>
  </rcc>
  <rcv guid="{D9B90A86-BE39-4FED-8226-084809D277F3}" action="delete"/>
  <rdn rId="0" localSheetId="1" customView="1" name="Z_D9B90A86_BE39_4FED_8226_084809D277F3_.wvu.PrintArea" hidden="1" oldHidden="1">
    <formula>'программы '!$A$1:$F$961</formula>
    <oldFormula>'программы '!$A$1:$F$961</oldFormula>
  </rdn>
  <rdn rId="0" localSheetId="1" customView="1" name="Z_D9B90A86_BE39_4FED_8226_084809D277F3_.wvu.FilterData" hidden="1" oldHidden="1">
    <formula>'программы '!$C$1:$C$969</formula>
    <oldFormula>'программы '!$C$1:$C$969</oldFormula>
  </rdn>
  <rcv guid="{D9B90A86-BE39-4FED-8226-084809D277F3}" action="add"/>
</revisions>
</file>

<file path=xl/revisions/revisionLog1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864" sId="1" ref="A83:XFD83" action="insertRow">
    <undo index="0" exp="area" ref3D="1" dr="$A$306:$XFD$314" dn="Z_30E81E54_DD45_4653_9DCD_548F6723F554_.wvu.Rows" sId="1"/>
    <undo index="16" exp="area" ref3D="1" dr="$A$861:$XFD$864" dn="Z_9A752CC5_36AC_48BE_BF4B_1A38C4015906_.wvu.Rows" sId="1"/>
    <undo index="14" exp="area" ref3D="1" dr="$A$815:$XFD$818" dn="Z_9A752CC5_36AC_48BE_BF4B_1A38C4015906_.wvu.Rows" sId="1"/>
    <undo index="12" exp="area" ref3D="1" dr="$A$593:$XFD$594" dn="Z_9A752CC5_36AC_48BE_BF4B_1A38C4015906_.wvu.Rows" sId="1"/>
    <undo index="10" exp="area" ref3D="1" dr="$A$556:$XFD$559" dn="Z_9A752CC5_36AC_48BE_BF4B_1A38C4015906_.wvu.Rows" sId="1"/>
    <undo index="8" exp="area" ref3D="1" dr="$A$542:$XFD$545" dn="Z_9A752CC5_36AC_48BE_BF4B_1A38C4015906_.wvu.Rows" sId="1"/>
    <undo index="6" exp="area" ref3D="1" dr="$A$355:$XFD$357" dn="Z_9A752CC5_36AC_48BE_BF4B_1A38C4015906_.wvu.Rows" sId="1"/>
    <undo index="4" exp="area" ref3D="1" dr="$A$334:$XFD$337" dn="Z_9A752CC5_36AC_48BE_BF4B_1A38C4015906_.wvu.Rows" sId="1"/>
    <undo index="2" exp="area" ref3D="1" dr="$A$162:$XFD$165" dn="Z_9A752CC5_36AC_48BE_BF4B_1A38C4015906_.wvu.Rows" sId="1"/>
  </rrc>
  <rrc rId="4865" sId="1" ref="A83:XFD83" action="insertRow">
    <undo index="0" exp="area" ref3D="1" dr="$A$307:$XFD$315" dn="Z_30E81E54_DD45_4653_9DCD_548F6723F554_.wvu.Rows" sId="1"/>
    <undo index="16" exp="area" ref3D="1" dr="$A$862:$XFD$865" dn="Z_9A752CC5_36AC_48BE_BF4B_1A38C4015906_.wvu.Rows" sId="1"/>
    <undo index="14" exp="area" ref3D="1" dr="$A$816:$XFD$819" dn="Z_9A752CC5_36AC_48BE_BF4B_1A38C4015906_.wvu.Rows" sId="1"/>
    <undo index="12" exp="area" ref3D="1" dr="$A$594:$XFD$595" dn="Z_9A752CC5_36AC_48BE_BF4B_1A38C4015906_.wvu.Rows" sId="1"/>
    <undo index="10" exp="area" ref3D="1" dr="$A$557:$XFD$560" dn="Z_9A752CC5_36AC_48BE_BF4B_1A38C4015906_.wvu.Rows" sId="1"/>
    <undo index="8" exp="area" ref3D="1" dr="$A$543:$XFD$546" dn="Z_9A752CC5_36AC_48BE_BF4B_1A38C4015906_.wvu.Rows" sId="1"/>
    <undo index="6" exp="area" ref3D="1" dr="$A$356:$XFD$358" dn="Z_9A752CC5_36AC_48BE_BF4B_1A38C4015906_.wvu.Rows" sId="1"/>
    <undo index="4" exp="area" ref3D="1" dr="$A$335:$XFD$338" dn="Z_9A752CC5_36AC_48BE_BF4B_1A38C4015906_.wvu.Rows" sId="1"/>
    <undo index="2" exp="area" ref3D="1" dr="$A$163:$XFD$166" dn="Z_9A752CC5_36AC_48BE_BF4B_1A38C4015906_.wvu.Rows" sId="1"/>
  </rrc>
  <rrc rId="4866" sId="1" ref="A83:XFD83" action="insertRow">
    <undo index="0" exp="area" ref3D="1" dr="$A$308:$XFD$316" dn="Z_30E81E54_DD45_4653_9DCD_548F6723F554_.wvu.Rows" sId="1"/>
    <undo index="16" exp="area" ref3D="1" dr="$A$863:$XFD$866" dn="Z_9A752CC5_36AC_48BE_BF4B_1A38C4015906_.wvu.Rows" sId="1"/>
    <undo index="14" exp="area" ref3D="1" dr="$A$817:$XFD$820" dn="Z_9A752CC5_36AC_48BE_BF4B_1A38C4015906_.wvu.Rows" sId="1"/>
    <undo index="12" exp="area" ref3D="1" dr="$A$595:$XFD$596" dn="Z_9A752CC5_36AC_48BE_BF4B_1A38C4015906_.wvu.Rows" sId="1"/>
    <undo index="10" exp="area" ref3D="1" dr="$A$558:$XFD$561" dn="Z_9A752CC5_36AC_48BE_BF4B_1A38C4015906_.wvu.Rows" sId="1"/>
    <undo index="8" exp="area" ref3D="1" dr="$A$544:$XFD$547" dn="Z_9A752CC5_36AC_48BE_BF4B_1A38C4015906_.wvu.Rows" sId="1"/>
    <undo index="6" exp="area" ref3D="1" dr="$A$357:$XFD$359" dn="Z_9A752CC5_36AC_48BE_BF4B_1A38C4015906_.wvu.Rows" sId="1"/>
    <undo index="4" exp="area" ref3D="1" dr="$A$336:$XFD$339" dn="Z_9A752CC5_36AC_48BE_BF4B_1A38C4015906_.wvu.Rows" sId="1"/>
    <undo index="2" exp="area" ref3D="1" dr="$A$164:$XFD$167" dn="Z_9A752CC5_36AC_48BE_BF4B_1A38C4015906_.wvu.Rows" sId="1"/>
  </rrc>
  <rrc rId="4867" sId="1" ref="A84:XFD84" action="insertRow">
    <undo index="0" exp="area" ref3D="1" dr="$A$309:$XFD$317" dn="Z_30E81E54_DD45_4653_9DCD_548F6723F554_.wvu.Rows" sId="1"/>
    <undo index="16" exp="area" ref3D="1" dr="$A$864:$XFD$867" dn="Z_9A752CC5_36AC_48BE_BF4B_1A38C4015906_.wvu.Rows" sId="1"/>
    <undo index="14" exp="area" ref3D="1" dr="$A$818:$XFD$821" dn="Z_9A752CC5_36AC_48BE_BF4B_1A38C4015906_.wvu.Rows" sId="1"/>
    <undo index="12" exp="area" ref3D="1" dr="$A$596:$XFD$597" dn="Z_9A752CC5_36AC_48BE_BF4B_1A38C4015906_.wvu.Rows" sId="1"/>
    <undo index="10" exp="area" ref3D="1" dr="$A$559:$XFD$562" dn="Z_9A752CC5_36AC_48BE_BF4B_1A38C4015906_.wvu.Rows" sId="1"/>
    <undo index="8" exp="area" ref3D="1" dr="$A$545:$XFD$548" dn="Z_9A752CC5_36AC_48BE_BF4B_1A38C4015906_.wvu.Rows" sId="1"/>
    <undo index="6" exp="area" ref3D="1" dr="$A$358:$XFD$360" dn="Z_9A752CC5_36AC_48BE_BF4B_1A38C4015906_.wvu.Rows" sId="1"/>
    <undo index="4" exp="area" ref3D="1" dr="$A$337:$XFD$340" dn="Z_9A752CC5_36AC_48BE_BF4B_1A38C4015906_.wvu.Rows" sId="1"/>
    <undo index="2" exp="area" ref3D="1" dr="$A$165:$XFD$168" dn="Z_9A752CC5_36AC_48BE_BF4B_1A38C4015906_.wvu.Rows" sId="1"/>
  </rrc>
  <rcc rId="4868" sId="1">
    <nc r="C86">
      <v>243</v>
    </nc>
  </rcc>
  <rcc rId="4869" sId="1">
    <nc r="C85">
      <v>240</v>
    </nc>
  </rcc>
  <rcc rId="4870" sId="1">
    <nc r="C84">
      <v>200</v>
    </nc>
  </rcc>
  <rcc rId="4871" sId="1">
    <nc r="B83" t="inlineStr">
      <is>
        <t>03 2 00 R7502</t>
      </is>
    </nc>
  </rcc>
  <rcc rId="4872" sId="1">
    <nc r="B84" t="inlineStr">
      <is>
        <t>03 2 00 R7502</t>
      </is>
    </nc>
  </rcc>
  <rcc rId="4873" sId="1">
    <nc r="B85" t="inlineStr">
      <is>
        <t>03 2 00 R7502</t>
      </is>
    </nc>
  </rcc>
  <rcc rId="4874" sId="1">
    <nc r="B86" t="inlineStr">
      <is>
        <t>03 2 00 R7502</t>
      </is>
    </nc>
  </rcc>
  <rcc rId="4875" sId="1">
    <nc r="D85">
      <f>D86</f>
    </nc>
  </rcc>
  <rcc rId="4876" sId="1">
    <nc r="E85">
      <f>E86</f>
    </nc>
  </rcc>
  <rcc rId="4877" sId="1">
    <nc r="F85">
      <f>F86</f>
    </nc>
  </rcc>
  <rcc rId="4878" sId="1">
    <nc r="D84">
      <f>D85</f>
    </nc>
  </rcc>
  <rcc rId="4879" sId="1">
    <nc r="E84">
      <f>E85</f>
    </nc>
  </rcc>
  <rcc rId="4880" sId="1">
    <nc r="F84">
      <f>F85</f>
    </nc>
  </rcc>
  <rcc rId="4881" sId="1">
    <nc r="D83">
      <f>D84</f>
    </nc>
  </rcc>
  <rcc rId="4882" sId="1">
    <nc r="E83">
      <f>E84</f>
    </nc>
  </rcc>
  <rcc rId="4883" sId="1">
    <nc r="F83">
      <f>F84</f>
    </nc>
  </rcc>
  <rfmt sheetId="1" sqref="A83:XFD86">
    <dxf>
      <fill>
        <patternFill patternType="solid">
          <bgColor rgb="FFFFFF00"/>
        </patternFill>
      </fill>
    </dxf>
  </rfmt>
  <rcc rId="4884" sId="1" odxf="1" dxf="1">
    <nc r="A86" t="inlineStr">
      <is>
        <t>Закупка товаров, работ, услуг в целях капитального
ремонта государственного (муниципального) имущества</t>
      </is>
    </nc>
    <odxf>
      <alignment wrapText="0" readingOrder="0"/>
    </odxf>
    <ndxf>
      <alignment wrapText="1" readingOrder="0"/>
    </ndxf>
  </rcc>
  <rcc rId="4885" sId="1">
    <nc r="A85" t="inlineStr">
      <is>
        <t>Иные закупки товаров,работ и услуг для обеспечения государственных (муниципальных) нужд</t>
      </is>
    </nc>
  </rcc>
  <rcc rId="4886" sId="1">
    <nc r="A84" t="inlineStr">
      <is>
        <t>Закупка товаров, работ и услуг для обеспечения государственных (муниципальных) нужд</t>
      </is>
    </nc>
  </rcc>
  <rcc rId="4887" sId="1">
    <nc r="A83" t="inlineStr">
      <is>
        <t>Реализация мероприятий по модернизации школьных систем образования (иные межбюджетные трансферты бюджетам муниципальных районов, муниципальных округов и городских округов Архангельской области)</t>
      </is>
    </nc>
  </rcc>
  <rcc rId="4888" sId="1" numFmtId="34">
    <nc r="E86">
      <v>105019101.12</v>
    </nc>
  </rcc>
  <rcc rId="4889" sId="1">
    <oc r="D74">
      <f>D87+D91+D107+D112+D123+D162+D166+D170+D75+D127+D135+D148+D139+D131+D99+D119+D157+D95+D79+D103</f>
    </oc>
    <nc r="D74">
      <f>D87+D91+D107+D112+D123+D162+D166+D170+D75+D127+D135+D148+D139+D131+D99+D119+D157+D95+D79+D103+D83</f>
    </nc>
  </rcc>
  <rcc rId="4890" sId="1">
    <oc r="E74">
      <f>E87+E91+E107+E112+E123+E162+E166+E170+E75+E127+E135+E148+E139+E131+E99+E119+E157+E95+E79+E103</f>
    </oc>
    <nc r="E74">
      <f>E87+E91+E107+E112+E123+E162+E166+E170+E75+E127+E135+E148+E139+E131+E99+E119+E157+E95+E79+E103+E83</f>
    </nc>
  </rcc>
  <rcc rId="4891" sId="1">
    <oc r="F74">
      <f>F87+F91+F107+F112+F123+F162+F166+F170+F75+F127+F135+F148+F139+F131+F99+F119+F157+F95+F79+F103</f>
    </oc>
    <nc r="F74">
      <f>F87+F91+F107+F112+F123+F162+F166+F170+F75+F127+F135+F148+F139+F131+F99+F119+F157+F95+F79+F103+F83</f>
    </nc>
  </rcc>
  <rcv guid="{D9B90A86-BE39-4FED-8226-084809D277F3}" action="delete"/>
  <rdn rId="0" localSheetId="1" customView="1" name="Z_D9B90A86_BE39_4FED_8226_084809D277F3_.wvu.PrintArea" hidden="1" oldHidden="1">
    <formula>'программы '!$A$1:$F$965</formula>
    <oldFormula>'программы '!$A$1:$F$965</oldFormula>
  </rdn>
  <rdn rId="0" localSheetId="1" customView="1" name="Z_D9B90A86_BE39_4FED_8226_084809D277F3_.wvu.FilterData" hidden="1" oldHidden="1">
    <formula>'программы '!$C$1:$C$973</formula>
    <oldFormula>'программы '!$C$1:$C$973</oldFormula>
  </rdn>
  <rcv guid="{D9B90A86-BE39-4FED-8226-084809D277F3}" action="add"/>
</revisions>
</file>

<file path=xl/revisions/revisionLog1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94" sId="1" numFmtId="34">
    <oc r="D102">
      <v>7720306.2000000002</v>
    </oc>
    <nc r="D102">
      <f>7720306.2</f>
    </nc>
  </rcc>
  <rcc rId="4895" sId="1" numFmtId="34">
    <nc r="E102">
      <v>21210460.670000002</v>
    </nc>
  </rcc>
  <rfmt sheetId="1" sqref="E102">
    <dxf>
      <fill>
        <patternFill patternType="solid">
          <bgColor rgb="FFFFFF00"/>
        </patternFill>
      </fill>
    </dxf>
  </rfmt>
  <rcc rId="4896" sId="1">
    <oc r="E74">
      <f>E87+E91+E107+E112+E123+E162+E166+E170+E75+E127+E135+E148+E139+E131+E99+E119+E157+E95+E79+E103+E83</f>
    </oc>
    <nc r="E74">
      <f>E87+E91+E107+E112+E123+E162+E166+E170+E75+E127+E135+E148+E139+E131+E99+E119+E157+E95+E79+E103+E83</f>
    </nc>
  </rcc>
</revisions>
</file>

<file path=xl/revisions/revisionLog1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97" sId="1" numFmtId="34">
    <oc r="D743">
      <v>9233378.3000000007</v>
    </oc>
    <nc r="D743">
      <f>9233378.3+5960960.09</f>
    </nc>
  </rcc>
</revisions>
</file>

<file path=xl/revisions/revisionLog1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0E81E54-DD45-4653-9DCD-548F6723F554}" action="delete"/>
  <rdn rId="0" localSheetId="1" customView="1" name="Z_30E81E54_DD45_4653_9DCD_548F6723F554_.wvu.PrintArea" hidden="1" oldHidden="1">
    <formula>'программы '!$A$1:$F$757</formula>
    <oldFormula>'программы '!$A$1:$F$757</oldFormula>
  </rdn>
  <rdn rId="0" localSheetId="1" customView="1" name="Z_30E81E54_DD45_4653_9DCD_548F6723F554_.wvu.Rows" hidden="1" oldHidden="1">
    <formula>'программы '!$235:$239</formula>
    <oldFormula>'программы '!$235:$239</oldFormula>
  </rdn>
  <rdn rId="0" localSheetId="1" customView="1" name="Z_30E81E54_DD45_4653_9DCD_548F6723F554_.wvu.FilterData" hidden="1" oldHidden="1">
    <formula>'программы '!$A$1:$A$770</formula>
    <oldFormula>'программы '!$A$1:$A$770</oldFormula>
  </rdn>
  <rcv guid="{30E81E54-DD45-4653-9DCD-548F6723F554}" action="add"/>
</revisions>
</file>

<file path=xl/revisions/revisionLog14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98" sId="1" numFmtId="34">
    <oc r="D744">
      <v>6126197.3700000001</v>
    </oc>
    <nc r="D744">
      <f>6126197.37-5960960.09</f>
    </nc>
  </rcc>
  <rfmt sheetId="1" sqref="D744">
    <dxf>
      <fill>
        <patternFill patternType="solid">
          <bgColor rgb="FFFFFF00"/>
        </patternFill>
      </fill>
    </dxf>
  </rfmt>
</revisions>
</file>

<file path=xl/revisions/revisionLog1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99" sId="1" numFmtId="34">
    <oc r="D584">
      <v>3353991.2</v>
    </oc>
    <nc r="D584">
      <f>3353991.2-858780.68</f>
    </nc>
  </rcc>
  <rfmt sheetId="1" sqref="D584">
    <dxf>
      <fill>
        <patternFill patternType="solid">
          <bgColor rgb="FFFFFF00"/>
        </patternFill>
      </fill>
    </dxf>
  </rfmt>
  <rcc rId="4900" sId="1" numFmtId="34">
    <oc r="D593">
      <v>68448.800000000003</v>
    </oc>
    <nc r="D593">
      <f>68448.8-17513.89</f>
    </nc>
  </rcc>
  <rfmt sheetId="1" sqref="D593">
    <dxf>
      <fill>
        <patternFill patternType="solid">
          <bgColor rgb="FFFFFF00"/>
        </patternFill>
      </fill>
    </dxf>
  </rfmt>
</revisions>
</file>

<file path=xl/revisions/revisionLog1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82">
    <dxf>
      <fill>
        <patternFill patternType="solid">
          <bgColor rgb="FFFFFF00"/>
        </patternFill>
      </fill>
    </dxf>
  </rfmt>
  <rfmt sheetId="1" sqref="D368">
    <dxf>
      <fill>
        <patternFill>
          <bgColor theme="0"/>
        </patternFill>
      </fill>
    </dxf>
  </rfmt>
  <rrc rId="4901" sId="1" ref="A369:XFD369" action="insertRow">
    <undo index="16" exp="area" ref3D="1" dr="$A$865:$XFD$868" dn="Z_9A752CC5_36AC_48BE_BF4B_1A38C4015906_.wvu.Rows" sId="1"/>
    <undo index="14" exp="area" ref3D="1" dr="$A$819:$XFD$822" dn="Z_9A752CC5_36AC_48BE_BF4B_1A38C4015906_.wvu.Rows" sId="1"/>
    <undo index="12" exp="area" ref3D="1" dr="$A$597:$XFD$598" dn="Z_9A752CC5_36AC_48BE_BF4B_1A38C4015906_.wvu.Rows" sId="1"/>
    <undo index="10" exp="area" ref3D="1" dr="$A$560:$XFD$563" dn="Z_9A752CC5_36AC_48BE_BF4B_1A38C4015906_.wvu.Rows" sId="1"/>
    <undo index="8" exp="area" ref3D="1" dr="$A$546:$XFD$549" dn="Z_9A752CC5_36AC_48BE_BF4B_1A38C4015906_.wvu.Rows" sId="1"/>
  </rrc>
  <rrc rId="4902" sId="1" ref="A369:XFD369" action="insertRow">
    <undo index="16" exp="area" ref3D="1" dr="$A$866:$XFD$869" dn="Z_9A752CC5_36AC_48BE_BF4B_1A38C4015906_.wvu.Rows" sId="1"/>
    <undo index="14" exp="area" ref3D="1" dr="$A$820:$XFD$823" dn="Z_9A752CC5_36AC_48BE_BF4B_1A38C4015906_.wvu.Rows" sId="1"/>
    <undo index="12" exp="area" ref3D="1" dr="$A$598:$XFD$599" dn="Z_9A752CC5_36AC_48BE_BF4B_1A38C4015906_.wvu.Rows" sId="1"/>
    <undo index="10" exp="area" ref3D="1" dr="$A$561:$XFD$564" dn="Z_9A752CC5_36AC_48BE_BF4B_1A38C4015906_.wvu.Rows" sId="1"/>
    <undo index="8" exp="area" ref3D="1" dr="$A$547:$XFD$550" dn="Z_9A752CC5_36AC_48BE_BF4B_1A38C4015906_.wvu.Rows" sId="1"/>
  </rrc>
  <rrc rId="4903" sId="1" ref="A369:XFD369" action="insertRow">
    <undo index="16" exp="area" ref3D="1" dr="$A$867:$XFD$870" dn="Z_9A752CC5_36AC_48BE_BF4B_1A38C4015906_.wvu.Rows" sId="1"/>
    <undo index="14" exp="area" ref3D="1" dr="$A$821:$XFD$824" dn="Z_9A752CC5_36AC_48BE_BF4B_1A38C4015906_.wvu.Rows" sId="1"/>
    <undo index="12" exp="area" ref3D="1" dr="$A$599:$XFD$600" dn="Z_9A752CC5_36AC_48BE_BF4B_1A38C4015906_.wvu.Rows" sId="1"/>
    <undo index="10" exp="area" ref3D="1" dr="$A$562:$XFD$565" dn="Z_9A752CC5_36AC_48BE_BF4B_1A38C4015906_.wvu.Rows" sId="1"/>
    <undo index="8" exp="area" ref3D="1" dr="$A$548:$XFD$551" dn="Z_9A752CC5_36AC_48BE_BF4B_1A38C4015906_.wvu.Rows" sId="1"/>
  </rrc>
  <rrc rId="4904" sId="1" ref="A369:XFD369" action="insertRow">
    <undo index="16" exp="area" ref3D="1" dr="$A$868:$XFD$871" dn="Z_9A752CC5_36AC_48BE_BF4B_1A38C4015906_.wvu.Rows" sId="1"/>
    <undo index="14" exp="area" ref3D="1" dr="$A$822:$XFD$825" dn="Z_9A752CC5_36AC_48BE_BF4B_1A38C4015906_.wvu.Rows" sId="1"/>
    <undo index="12" exp="area" ref3D="1" dr="$A$600:$XFD$601" dn="Z_9A752CC5_36AC_48BE_BF4B_1A38C4015906_.wvu.Rows" sId="1"/>
    <undo index="10" exp="area" ref3D="1" dr="$A$563:$XFD$566" dn="Z_9A752CC5_36AC_48BE_BF4B_1A38C4015906_.wvu.Rows" sId="1"/>
    <undo index="8" exp="area" ref3D="1" dr="$A$549:$XFD$552" dn="Z_9A752CC5_36AC_48BE_BF4B_1A38C4015906_.wvu.Rows" sId="1"/>
  </rrc>
  <rcc rId="4905" sId="1">
    <nc r="C369">
      <v>600</v>
    </nc>
  </rcc>
  <rcc rId="4906" sId="1">
    <nc r="C370">
      <v>610</v>
    </nc>
  </rcc>
  <rcc rId="4907" sId="1">
    <nc r="C371">
      <v>612</v>
    </nc>
  </rcc>
  <rrc rId="4908" sId="1" ref="A372:XFD372" action="deleteRow">
    <undo index="16" exp="area" ref3D="1" dr="$A$869:$XFD$872" dn="Z_9A752CC5_36AC_48BE_BF4B_1A38C4015906_.wvu.Rows" sId="1"/>
    <undo index="14" exp="area" ref3D="1" dr="$A$823:$XFD$826" dn="Z_9A752CC5_36AC_48BE_BF4B_1A38C4015906_.wvu.Rows" sId="1"/>
    <undo index="12" exp="area" ref3D="1" dr="$A$601:$XFD$602" dn="Z_9A752CC5_36AC_48BE_BF4B_1A38C4015906_.wvu.Rows" sId="1"/>
    <undo index="10" exp="area" ref3D="1" dr="$A$564:$XFD$567" dn="Z_9A752CC5_36AC_48BE_BF4B_1A38C4015906_.wvu.Rows" sId="1"/>
    <undo index="8" exp="area" ref3D="1" dr="$A$550:$XFD$553" dn="Z_9A752CC5_36AC_48BE_BF4B_1A38C4015906_.wvu.Rows" sId="1"/>
    <rfmt sheetId="1" xfDxf="1" sqref="A372:XFD372" start="0" length="0">
      <dxf>
        <font>
          <name val="Times New Roman"/>
          <scheme val="none"/>
        </font>
        <alignment vertical="center" readingOrder="0"/>
      </dxf>
    </rfmt>
    <rfmt sheetId="1" sqref="A372" start="0" length="0">
      <dxf>
        <alignment horizontal="justify" readingOrder="0"/>
        <border outline="0">
          <left style="thin">
            <color indexed="64"/>
          </left>
          <right style="thin">
            <color indexed="64"/>
          </right>
        </border>
      </dxf>
    </rfmt>
    <rfmt sheetId="1" sqref="B372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372" start="0" length="0">
      <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372" start="0" length="0">
      <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372" start="0" length="0">
      <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372" start="0" length="0">
      <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fmt sheetId="1" sqref="A369:F371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cc rId="4909" sId="1">
    <nc r="B371" t="inlineStr">
      <is>
        <t>06 2 00 S8530</t>
      </is>
    </nc>
  </rcc>
  <rcc rId="4910" sId="1">
    <nc r="B370" t="inlineStr">
      <is>
        <t>06 2 00 S8530</t>
      </is>
    </nc>
  </rcc>
  <rcc rId="4911" sId="1">
    <nc r="B369" t="inlineStr">
      <is>
        <t>06 2 00 S8530</t>
      </is>
    </nc>
  </rcc>
  <rrc rId="4912" sId="1" ref="A369:XFD369" action="deleteRow">
    <undo index="16" exp="area" ref3D="1" dr="$A$868:$XFD$871" dn="Z_9A752CC5_36AC_48BE_BF4B_1A38C4015906_.wvu.Rows" sId="1"/>
    <undo index="14" exp="area" ref3D="1" dr="$A$822:$XFD$825" dn="Z_9A752CC5_36AC_48BE_BF4B_1A38C4015906_.wvu.Rows" sId="1"/>
    <undo index="12" exp="area" ref3D="1" dr="$A$600:$XFD$601" dn="Z_9A752CC5_36AC_48BE_BF4B_1A38C4015906_.wvu.Rows" sId="1"/>
    <undo index="10" exp="area" ref3D="1" dr="$A$563:$XFD$566" dn="Z_9A752CC5_36AC_48BE_BF4B_1A38C4015906_.wvu.Rows" sId="1"/>
    <undo index="8" exp="area" ref3D="1" dr="$A$549:$XFD$552" dn="Z_9A752CC5_36AC_48BE_BF4B_1A38C4015906_.wvu.Rows" sId="1"/>
    <rfmt sheetId="1" xfDxf="1" sqref="A369:XFD369" start="0" length="0">
      <dxf>
        <font>
          <name val="Times New Roman"/>
          <scheme val="none"/>
        </font>
        <alignment vertical="center" readingOrder="0"/>
      </dxf>
    </rfmt>
    <rfmt sheetId="1" sqref="A369" start="0" length="0">
      <dxf>
        <alignment horizontal="justify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369" t="inlineStr">
        <is>
          <t>06 2 00 S8530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9">
        <v>600</v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D369" start="0" length="0">
      <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369" start="0" length="0">
      <dxf>
        <numFmt numFmtId="164" formatCode="_-* #,##0.00_р_._-;\-* #,##0.00_р_._-;_-* &quot;-&quot;??_р_._-;_-@_-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369" start="0" length="0">
      <dxf>
        <numFmt numFmtId="164" formatCode="_-* #,##0.00_р_._-;\-* #,##0.00_р_._-;_-* &quot;-&quot;??_р_._-;_-@_-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913" sId="1" ref="A369:XFD369" action="deleteRow">
    <undo index="16" exp="area" ref3D="1" dr="$A$867:$XFD$870" dn="Z_9A752CC5_36AC_48BE_BF4B_1A38C4015906_.wvu.Rows" sId="1"/>
    <undo index="14" exp="area" ref3D="1" dr="$A$821:$XFD$824" dn="Z_9A752CC5_36AC_48BE_BF4B_1A38C4015906_.wvu.Rows" sId="1"/>
    <undo index="12" exp="area" ref3D="1" dr="$A$599:$XFD$600" dn="Z_9A752CC5_36AC_48BE_BF4B_1A38C4015906_.wvu.Rows" sId="1"/>
    <undo index="10" exp="area" ref3D="1" dr="$A$562:$XFD$565" dn="Z_9A752CC5_36AC_48BE_BF4B_1A38C4015906_.wvu.Rows" sId="1"/>
    <undo index="8" exp="area" ref3D="1" dr="$A$548:$XFD$551" dn="Z_9A752CC5_36AC_48BE_BF4B_1A38C4015906_.wvu.Rows" sId="1"/>
    <rfmt sheetId="1" xfDxf="1" sqref="A369:XFD369" start="0" length="0">
      <dxf>
        <font>
          <name val="Times New Roman"/>
          <scheme val="none"/>
        </font>
        <alignment vertical="center" readingOrder="0"/>
      </dxf>
    </rfmt>
    <rfmt sheetId="1" sqref="A369" start="0" length="0">
      <dxf>
        <alignment horizontal="justify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369" t="inlineStr">
        <is>
          <t>06 2 00 S8530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9">
        <v>610</v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D369" start="0" length="0">
      <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369" start="0" length="0">
      <dxf>
        <numFmt numFmtId="164" formatCode="_-* #,##0.00_р_._-;\-* #,##0.00_р_._-;_-* &quot;-&quot;??_р_._-;_-@_-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369" start="0" length="0">
      <dxf>
        <numFmt numFmtId="164" formatCode="_-* #,##0.00_р_._-;\-* #,##0.00_р_._-;_-* &quot;-&quot;??_р_._-;_-@_-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914" sId="1" ref="A369:XFD369" action="deleteRow">
    <undo index="16" exp="area" ref3D="1" dr="$A$866:$XFD$869" dn="Z_9A752CC5_36AC_48BE_BF4B_1A38C4015906_.wvu.Rows" sId="1"/>
    <undo index="14" exp="area" ref3D="1" dr="$A$820:$XFD$823" dn="Z_9A752CC5_36AC_48BE_BF4B_1A38C4015906_.wvu.Rows" sId="1"/>
    <undo index="12" exp="area" ref3D="1" dr="$A$598:$XFD$599" dn="Z_9A752CC5_36AC_48BE_BF4B_1A38C4015906_.wvu.Rows" sId="1"/>
    <undo index="10" exp="area" ref3D="1" dr="$A$561:$XFD$564" dn="Z_9A752CC5_36AC_48BE_BF4B_1A38C4015906_.wvu.Rows" sId="1"/>
    <undo index="8" exp="area" ref3D="1" dr="$A$547:$XFD$550" dn="Z_9A752CC5_36AC_48BE_BF4B_1A38C4015906_.wvu.Rows" sId="1"/>
    <rfmt sheetId="1" xfDxf="1" sqref="A369:XFD369" start="0" length="0">
      <dxf>
        <font>
          <name val="Times New Roman"/>
          <scheme val="none"/>
        </font>
        <alignment vertical="center" readingOrder="0"/>
      </dxf>
    </rfmt>
    <rfmt sheetId="1" sqref="A369" start="0" length="0">
      <dxf>
        <alignment horizontal="justify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369" t="inlineStr">
        <is>
          <t>06 2 00 S8530</t>
        </is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9">
        <v>612</v>
      </nc>
      <ndxf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D369" start="0" length="0">
      <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369" start="0" length="0">
      <dxf>
        <numFmt numFmtId="164" formatCode="_-* #,##0.00_р_._-;\-* #,##0.00_р_._-;_-* &quot;-&quot;??_р_._-;_-@_-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369" start="0" length="0">
      <dxf>
        <numFmt numFmtId="164" formatCode="_-* #,##0.00_р_._-;\-* #,##0.00_р_._-;_-* &quot;-&quot;??_р_._-;_-@_-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4915" sId="1">
    <oc r="C368" t="inlineStr">
      <is>
        <t>244</t>
      </is>
    </oc>
    <nc r="C368">
      <v>612</v>
    </nc>
  </rcc>
  <rcc rId="4916" sId="1">
    <oc r="C367" t="inlineStr">
      <is>
        <t>240</t>
      </is>
    </oc>
    <nc r="C367">
      <v>610</v>
    </nc>
  </rcc>
  <rcc rId="4917" sId="1">
    <oc r="C366" t="inlineStr">
      <is>
        <t>200</t>
      </is>
    </oc>
    <nc r="C366">
      <v>600</v>
    </nc>
  </rcc>
  <rcc rId="4918" sId="1">
    <oc r="A368" t="inlineStr">
      <is>
        <t>Прочая закупка товаров, работ и услуг</t>
      </is>
    </oc>
    <nc r="A368" t="inlineStr">
      <is>
        <t>Субсидии бюджетным учреждениям на иные цели</t>
      </is>
    </nc>
  </rcc>
  <rcc rId="4919" sId="1" xfDxf="1" dxf="1">
    <oc r="A367" t="inlineStr">
      <is>
        <t>Иные закупки товаров, работ и услуг для обеспечения государственных (муниципальных) нужд</t>
      </is>
    </oc>
    <nc r="A367" t="inlineStr">
      <is>
        <t>Субсидии бюджетным учреждениям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920" sId="1" xfDxf="1" dxf="1">
    <oc r="A366" t="inlineStr">
      <is>
        <t>Закупка товаров, работ и услуг для обеспечения государственных (муниципальных) нужд</t>
      </is>
    </oc>
    <nc r="A366" t="inlineStr">
      <is>
        <t>Предоставление субсидий бюджетным, автономным учреждениям и иным некоммерческим организациям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921" sId="1">
    <oc r="D368">
      <f>44632.9-44503.69</f>
    </oc>
    <nc r="D368">
      <f>44632.9-44503.69</f>
    </nc>
  </rcc>
  <rfmt sheetId="1" sqref="D368">
    <dxf>
      <fill>
        <patternFill>
          <bgColor rgb="FFFFFF00"/>
        </patternFill>
      </fill>
    </dxf>
  </rfmt>
  <rcv guid="{D9B90A86-BE39-4FED-8226-084809D277F3}" action="delete"/>
  <rdn rId="0" localSheetId="1" customView="1" name="Z_D9B90A86_BE39_4FED_8226_084809D277F3_.wvu.PrintArea" hidden="1" oldHidden="1">
    <formula>'программы '!$A$1:$F$965</formula>
    <oldFormula>'программы '!$A$1:$F$965</oldFormula>
  </rdn>
  <rdn rId="0" localSheetId="1" customView="1" name="Z_D9B90A86_BE39_4FED_8226_084809D277F3_.wvu.FilterData" hidden="1" oldHidden="1">
    <formula>'программы '!$C$1:$C$973</formula>
    <oldFormula>'программы '!$C$1:$C$973</oldFormula>
  </rdn>
  <rcv guid="{D9B90A86-BE39-4FED-8226-084809D277F3}" action="add"/>
</revisions>
</file>

<file path=xl/revisions/revisionLog1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24" sId="1" numFmtId="34">
    <oc r="D628">
      <v>150000</v>
    </oc>
    <nc r="D628">
      <f>150000-35800</f>
    </nc>
  </rcc>
  <rfmt sheetId="1" sqref="D628">
    <dxf>
      <fill>
        <patternFill patternType="solid">
          <bgColor rgb="FFFFFF00"/>
        </patternFill>
      </fill>
    </dxf>
  </rfmt>
</revisions>
</file>

<file path=xl/revisions/revisionLog1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25" sId="1" numFmtId="34">
    <oc r="D632">
      <v>1069200</v>
    </oc>
    <nc r="D632">
      <f>1069200+35800</f>
    </nc>
  </rcc>
  <rfmt sheetId="1" sqref="D632">
    <dxf>
      <fill>
        <patternFill patternType="solid">
          <bgColor rgb="FFFFFF00"/>
        </patternFill>
      </fill>
    </dxf>
  </rfmt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0E81E54-DD45-4653-9DCD-548F6723F554}" action="delete"/>
  <rdn rId="0" localSheetId="1" customView="1" name="Z_30E81E54_DD45_4653_9DCD_548F6723F554_.wvu.PrintArea" hidden="1" oldHidden="1">
    <formula>'программы '!$A$1:$F$757</formula>
    <oldFormula>'программы '!$A$1:$F$757</oldFormula>
  </rdn>
  <rdn rId="0" localSheetId="1" customView="1" name="Z_30E81E54_DD45_4653_9DCD_548F6723F554_.wvu.Rows" hidden="1" oldHidden="1">
    <formula>'программы '!$235:$239</formula>
    <oldFormula>'программы '!$235:$239</oldFormula>
  </rdn>
  <rdn rId="0" localSheetId="1" customView="1" name="Z_30E81E54_DD45_4653_9DCD_548F6723F554_.wvu.FilterData" hidden="1" oldHidden="1">
    <formula>'программы '!$A$1:$A$770</formula>
    <oldFormula>'программы '!$A$1:$A$770</oldFormula>
  </rdn>
  <rcv guid="{30E81E54-DD45-4653-9DCD-548F6723F554}" action="add"/>
</revisions>
</file>

<file path=xl/revisions/revisionLog1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26" sId="1">
    <oc r="D373">
      <f>5000000+344484+87070.87+2381236.58+965247+749950</f>
    </oc>
    <nc r="D373">
      <f>5000000+344484+87070.87+2381236.58+965247+749950-4527988.45</f>
    </nc>
  </rcc>
</revisions>
</file>

<file path=xl/revisions/revisionLog1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27" sId="1">
    <oc r="D584">
      <f>3353991.2-858780.68</f>
    </oc>
    <nc r="D584">
      <f>3353991.2-858180.68</f>
    </nc>
  </rcc>
  <rcv guid="{D9B90A86-BE39-4FED-8226-084809D277F3}" action="delete"/>
  <rdn rId="0" localSheetId="1" customView="1" name="Z_D9B90A86_BE39_4FED_8226_084809D277F3_.wvu.PrintArea" hidden="1" oldHidden="1">
    <formula>'программы '!$A$1:$F$965</formula>
    <oldFormula>'программы '!$A$1:$F$965</oldFormula>
  </rdn>
  <rdn rId="0" localSheetId="1" customView="1" name="Z_D9B90A86_BE39_4FED_8226_084809D277F3_.wvu.FilterData" hidden="1" oldHidden="1">
    <formula>'программы '!$C$1:$C$973</formula>
    <oldFormula>'программы '!$C$1:$C$973</oldFormula>
  </rdn>
  <rcv guid="{D9B90A86-BE39-4FED-8226-084809D277F3}" action="add"/>
</revisions>
</file>

<file path=xl/revisions/revisionLog1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30" sId="1" numFmtId="34">
    <oc r="D737">
      <f>41482.04-25059</f>
    </oc>
    <nc r="D737">
      <v>16123.04</v>
    </nc>
  </rcc>
  <rcv guid="{D9B90A86-BE39-4FED-8226-084809D277F3}" action="delete"/>
  <rdn rId="0" localSheetId="1" customView="1" name="Z_D9B90A86_BE39_4FED_8226_084809D277F3_.wvu.PrintArea" hidden="1" oldHidden="1">
    <formula>'программы '!$A$1:$F$965</formula>
    <oldFormula>'программы '!$A$1:$F$965</oldFormula>
  </rdn>
  <rdn rId="0" localSheetId="1" customView="1" name="Z_D9B90A86_BE39_4FED_8226_084809D277F3_.wvu.FilterData" hidden="1" oldHidden="1">
    <formula>'программы '!$C$1:$C$973</formula>
    <oldFormula>'программы '!$C$1:$C$973</oldFormula>
  </rdn>
  <rcv guid="{D9B90A86-BE39-4FED-8226-084809D277F3}" action="add"/>
</revisions>
</file>

<file path=xl/revisions/revisionLog1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933" sId="1" ref="A725:XFD725" action="insertRow">
    <undo index="16" exp="area" ref3D="1" dr="$A$865:$XFD$868" dn="Z_9A752CC5_36AC_48BE_BF4B_1A38C4015906_.wvu.Rows" sId="1"/>
    <undo index="14" exp="area" ref3D="1" dr="$A$819:$XFD$822" dn="Z_9A752CC5_36AC_48BE_BF4B_1A38C4015906_.wvu.Rows" sId="1"/>
  </rrc>
  <rrc rId="4934" sId="1" ref="A725:XFD725" action="insertRow">
    <undo index="16" exp="area" ref3D="1" dr="$A$866:$XFD$869" dn="Z_9A752CC5_36AC_48BE_BF4B_1A38C4015906_.wvu.Rows" sId="1"/>
    <undo index="14" exp="area" ref3D="1" dr="$A$820:$XFD$823" dn="Z_9A752CC5_36AC_48BE_BF4B_1A38C4015906_.wvu.Rows" sId="1"/>
  </rrc>
  <rrc rId="4935" sId="1" ref="A725:XFD725" action="insertRow">
    <undo index="16" exp="area" ref3D="1" dr="$A$867:$XFD$870" dn="Z_9A752CC5_36AC_48BE_BF4B_1A38C4015906_.wvu.Rows" sId="1"/>
    <undo index="14" exp="area" ref3D="1" dr="$A$821:$XFD$824" dn="Z_9A752CC5_36AC_48BE_BF4B_1A38C4015906_.wvu.Rows" sId="1"/>
  </rrc>
  <rrc rId="4936" sId="1" ref="A726:XFD726" action="insertRow">
    <undo index="16" exp="area" ref3D="1" dr="$A$868:$XFD$871" dn="Z_9A752CC5_36AC_48BE_BF4B_1A38C4015906_.wvu.Rows" sId="1"/>
    <undo index="14" exp="area" ref3D="1" dr="$A$822:$XFD$825" dn="Z_9A752CC5_36AC_48BE_BF4B_1A38C4015906_.wvu.Rows" sId="1"/>
  </rrc>
  <rcc rId="4937" sId="1">
    <nc r="C728">
      <v>129</v>
    </nc>
  </rcc>
  <rcc rId="4938" sId="1">
    <nc r="C727">
      <v>122</v>
    </nc>
  </rcc>
  <rcc rId="4939" sId="1">
    <nc r="C726">
      <v>100</v>
    </nc>
  </rcc>
  <rcc rId="4940" sId="1" xfDxf="1" dxf="1">
    <nc r="A725" t="inlineStr">
      <is>
        <t>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(гранта) из федерального бюджета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941" sId="1">
    <nc r="A726" t="inlineStr">
      <is>
    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  </is>
    </nc>
  </rcc>
  <rcc rId="4942" sId="1">
    <nc r="A727" t="inlineStr">
      <is>
        <t>Иные выплаты персоналу государственных (муниципальных) органов, за исключением фонда оплаты труда</t>
      </is>
    </nc>
  </rcc>
  <rcc rId="4943" sId="1">
    <nc r="A728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</rcc>
  <rcc rId="4944" sId="1">
    <nc r="D726">
      <f>D727+D728</f>
    </nc>
  </rcc>
  <rcc rId="4945" sId="1">
    <nc r="E726">
      <f>E727+E728</f>
    </nc>
  </rcc>
  <rcc rId="4946" sId="1">
    <nc r="F726">
      <f>F727+F728</f>
    </nc>
  </rcc>
  <rcc rId="4947" sId="1">
    <nc r="D725">
      <f>D726</f>
    </nc>
  </rcc>
  <rcc rId="4948" sId="1">
    <nc r="E725">
      <f>E726</f>
    </nc>
  </rcc>
  <rcc rId="4949" sId="1">
    <nc r="F725">
      <f>F726</f>
    </nc>
  </rcc>
  <rcc rId="4950" sId="1">
    <nc r="B725" t="inlineStr">
      <is>
        <t>54 1 00 Э4790</t>
      </is>
    </nc>
  </rcc>
  <rcc rId="4951" sId="1">
    <nc r="B726" t="inlineStr">
      <is>
        <t>54 1 00 Э4790</t>
      </is>
    </nc>
  </rcc>
  <rcc rId="4952" sId="1">
    <nc r="B727" t="inlineStr">
      <is>
        <t>54 1 00 Э4790</t>
      </is>
    </nc>
  </rcc>
  <rcc rId="4953" sId="1">
    <nc r="B728" t="inlineStr">
      <is>
        <t>54 1 00 Э4790</t>
      </is>
    </nc>
  </rcc>
  <rcc rId="4954" sId="1" numFmtId="34">
    <nc r="D728">
      <v>173564.71</v>
    </nc>
  </rcc>
  <rcc rId="4955" sId="1" numFmtId="34">
    <nc r="D727">
      <v>574717.56999999995</v>
    </nc>
  </rcc>
  <rcv guid="{D9B90A86-BE39-4FED-8226-084809D277F3}" action="delete"/>
  <rdn rId="0" localSheetId="1" customView="1" name="Z_D9B90A86_BE39_4FED_8226_084809D277F3_.wvu.PrintArea" hidden="1" oldHidden="1">
    <formula>'программы '!$A$1:$F$969</formula>
    <oldFormula>'программы '!$A$1:$F$969</oldFormula>
  </rdn>
  <rdn rId="0" localSheetId="1" customView="1" name="Z_D9B90A86_BE39_4FED_8226_084809D277F3_.wvu.FilterData" hidden="1" oldHidden="1">
    <formula>'программы '!$C$1:$C$977</formula>
    <oldFormula>'программы '!$C$1:$C$977</oldFormula>
  </rdn>
  <rcv guid="{D9B90A86-BE39-4FED-8226-084809D277F3}" action="add"/>
</revisions>
</file>

<file path=xl/revisions/revisionLog1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58" sId="1">
    <oc r="D693">
      <f>D729+D706+D694+D698+D702</f>
    </oc>
    <nc r="D693">
      <f>D729+D706+D694+D698+D702+D725</f>
    </nc>
  </rcc>
</revisions>
</file>

<file path=xl/revisions/revisionLog1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59" sId="1">
    <oc r="D754">
      <f>472574+104520</f>
    </oc>
    <nc r="D754">
      <f>472574+104250</f>
    </nc>
  </rcc>
  <rcv guid="{D9B90A86-BE39-4FED-8226-084809D277F3}" action="delete"/>
  <rdn rId="0" localSheetId="1" customView="1" name="Z_D9B90A86_BE39_4FED_8226_084809D277F3_.wvu.PrintArea" hidden="1" oldHidden="1">
    <formula>'программы '!$A$1:$F$969</formula>
    <oldFormula>'программы '!$A$1:$F$969</oldFormula>
  </rdn>
  <rdn rId="0" localSheetId="1" customView="1" name="Z_D9B90A86_BE39_4FED_8226_084809D277F3_.wvu.FilterData" hidden="1" oldHidden="1">
    <formula>'программы '!$C$1:$C$977</formula>
    <oldFormula>'программы '!$C$1:$C$977</oldFormula>
  </rdn>
  <rcv guid="{D9B90A86-BE39-4FED-8226-084809D277F3}" action="add"/>
</revisions>
</file>

<file path=xl/revisions/revisionLog1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62" sId="1">
    <oc r="D865">
      <f>358553.82+25059</f>
    </oc>
    <nc r="D865">
      <f>383912.82</f>
    </nc>
  </rcc>
  <rcv guid="{D9B90A86-BE39-4FED-8226-084809D277F3}" action="delete"/>
  <rdn rId="0" localSheetId="1" customView="1" name="Z_D9B90A86_BE39_4FED_8226_084809D277F3_.wvu.PrintArea" hidden="1" oldHidden="1">
    <formula>'программы '!$A$1:$F$969</formula>
    <oldFormula>'программы '!$A$1:$F$969</oldFormula>
  </rdn>
  <rdn rId="0" localSheetId="1" customView="1" name="Z_D9B90A86_BE39_4FED_8226_084809D277F3_.wvu.FilterData" hidden="1" oldHidden="1">
    <formula>'программы '!$C$1:$C$977</formula>
    <oldFormula>'программы '!$C$1:$C$977</oldFormula>
  </rdn>
  <rcv guid="{D9B90A86-BE39-4FED-8226-084809D277F3}" action="add"/>
</revisions>
</file>

<file path=xl/revisions/revisionLog1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65" sId="1" numFmtId="34">
    <oc r="D68">
      <v>101767672.76000001</v>
    </oc>
    <nc r="D68">
      <f>101767672.76+3329131.58</f>
    </nc>
  </rcc>
  <rcc rId="4966" sId="1">
    <oc r="D73">
      <f>927855+15800</f>
    </oc>
    <nc r="D73">
      <f>927855+15800+216197</f>
    </nc>
  </rcc>
  <rfmt sheetId="1" sqref="D73">
    <dxf>
      <fill>
        <patternFill patternType="solid">
          <bgColor rgb="FFFFFF00"/>
        </patternFill>
      </fill>
    </dxf>
  </rfmt>
  <rfmt sheetId="1" sqref="D68">
    <dxf>
      <fill>
        <patternFill patternType="solid">
          <bgColor rgb="FFFFFF00"/>
        </patternFill>
      </fill>
    </dxf>
  </rfmt>
  <rcc rId="4967" sId="1" numFmtId="34">
    <oc r="D110">
      <v>209537488.25</v>
    </oc>
    <nc r="D110">
      <f>209537488.25+7493762.17</f>
    </nc>
  </rcc>
  <rfmt sheetId="1" sqref="D110">
    <dxf>
      <fill>
        <patternFill patternType="solid">
          <bgColor rgb="FFFFFF00"/>
        </patternFill>
      </fill>
    </dxf>
  </rfmt>
  <rcc rId="4968" sId="1">
    <oc r="D118">
      <f>3387420+538300</f>
    </oc>
    <nc r="D118">
      <f>3387420+538300+1056919.25</f>
    </nc>
  </rcc>
  <rfmt sheetId="1" sqref="D118">
    <dxf>
      <fill>
        <patternFill patternType="solid">
          <bgColor rgb="FFFFFF00"/>
        </patternFill>
      </fill>
    </dxf>
  </rfmt>
  <rcc rId="4969" sId="1">
    <oc r="D130">
      <f>1057252-15800</f>
    </oc>
    <nc r="D130">
      <f>1057252-15800-1041452</f>
    </nc>
  </rcc>
  <rfmt sheetId="1" sqref="D130">
    <dxf>
      <fill>
        <patternFill patternType="solid">
          <bgColor rgb="FFFFFF00"/>
        </patternFill>
      </fill>
    </dxf>
  </rfmt>
  <rcv guid="{D9B90A86-BE39-4FED-8226-084809D277F3}" action="delete"/>
  <rdn rId="0" localSheetId="1" customView="1" name="Z_D9B90A86_BE39_4FED_8226_084809D277F3_.wvu.PrintArea" hidden="1" oldHidden="1">
    <formula>'программы '!$A$1:$F$969</formula>
    <oldFormula>'программы '!$A$1:$F$969</oldFormula>
  </rdn>
  <rdn rId="0" localSheetId="1" customView="1" name="Z_D9B90A86_BE39_4FED_8226_084809D277F3_.wvu.FilterData" hidden="1" oldHidden="1">
    <formula>'программы '!$C$1:$C$977</formula>
    <oldFormula>'программы '!$C$1:$C$977</oldFormula>
  </rdn>
  <rcv guid="{D9B90A86-BE39-4FED-8226-084809D277F3}" action="add"/>
</revisions>
</file>

<file path=xl/revisions/revisionLog1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972" sId="1" ref="A941:XFD941" action="insertRow"/>
  <rrc rId="4973" sId="1" ref="A941:XFD941" action="insertRow"/>
  <rrc rId="4974" sId="1" ref="A941:XFD941" action="insertRow"/>
  <rrc rId="4975" sId="1" ref="A941:XFD941" action="insertRow"/>
  <rcc rId="4976" sId="1">
    <nc r="A941" t="inlineStr">
      <is>
        <t>Развитие инициативных проектов в рамках регионального проекта "Комфортное Поморье"ого бюджета)</t>
      </is>
    </nc>
  </rcc>
  <rcc rId="4977" sId="1">
    <nc r="A942" t="inlineStr">
      <is>
        <t>Предоставление субсидий бюджетным, автономным учреждениям и иным некоммерческим организациям</t>
      </is>
    </nc>
  </rcc>
  <rcc rId="4978" sId="1">
    <nc r="A943" t="inlineStr">
      <is>
        <t>Субсидии бюджетным учреждениям</t>
      </is>
    </nc>
  </rcc>
  <rcc rId="4979" sId="1">
    <nc r="A944" t="inlineStr">
      <is>
        <t>Субсидии бюджетным учреждениям на иные цели</t>
      </is>
    </nc>
  </rcc>
  <rcc rId="4980" sId="1">
    <nc r="B941" t="inlineStr">
      <is>
        <t>67 0 00 Э8890</t>
      </is>
    </nc>
  </rcc>
  <rcc rId="4981" sId="1">
    <nc r="B942" t="inlineStr">
      <is>
        <t>67 0 00 Э8890</t>
      </is>
    </nc>
  </rcc>
  <rcc rId="4982" sId="1">
    <nc r="B943" t="inlineStr">
      <is>
        <t>67 0 00 Э8890</t>
      </is>
    </nc>
  </rcc>
  <rcc rId="4983" sId="1">
    <nc r="B944" t="inlineStr">
      <is>
        <t>67 0 00 Э8890</t>
      </is>
    </nc>
  </rcc>
  <rcc rId="4984" sId="1">
    <nc r="C944">
      <v>612</v>
    </nc>
  </rcc>
  <rcc rId="4985" sId="1">
    <nc r="C943">
      <v>610</v>
    </nc>
  </rcc>
  <rcc rId="4986" sId="1">
    <nc r="C942">
      <v>600</v>
    </nc>
  </rcc>
  <rfmt sheetId="1" sqref="A941:F944" start="0" length="2147483647">
    <dxf>
      <font>
        <b val="0"/>
      </font>
    </dxf>
  </rfmt>
  <rfmt sheetId="1" sqref="A941:F944" start="0" length="2147483647">
    <dxf>
      <font>
        <i val="0"/>
      </font>
    </dxf>
  </rfmt>
  <rcc rId="4987" sId="1">
    <nc r="D943">
      <f>D944</f>
    </nc>
  </rcc>
  <rcc rId="4988" sId="1">
    <nc r="E943">
      <f>E944</f>
    </nc>
  </rcc>
  <rcc rId="4989" sId="1">
    <nc r="F943">
      <f>F944</f>
    </nc>
  </rcc>
  <rcc rId="4990" sId="1">
    <nc r="D942">
      <f>D943</f>
    </nc>
  </rcc>
  <rcc rId="4991" sId="1">
    <nc r="E942">
      <f>E943</f>
    </nc>
  </rcc>
  <rcc rId="4992" sId="1">
    <nc r="F942">
      <f>F943</f>
    </nc>
  </rcc>
  <rcc rId="4993" sId="1">
    <nc r="D941">
      <f>D942</f>
    </nc>
  </rcc>
  <rcc rId="4994" sId="1">
    <nc r="E941">
      <f>E942</f>
    </nc>
  </rcc>
  <rcc rId="4995" sId="1">
    <nc r="F941">
      <f>F942</f>
    </nc>
  </rcc>
  <rcc rId="4996" sId="1">
    <oc r="D940">
      <f>D945+D955</f>
    </oc>
    <nc r="D940">
      <f>D945+D955+D941</f>
    </nc>
  </rcc>
  <rcc rId="4997" sId="1">
    <oc r="E940">
      <f>E945+E955</f>
    </oc>
    <nc r="E940">
      <f>E945+E955+E941</f>
    </nc>
  </rcc>
  <rcc rId="4998" sId="1">
    <oc r="F940">
      <f>F945+F955</f>
    </oc>
    <nc r="F940">
      <f>F945+F955+F941</f>
    </nc>
  </rcc>
  <rcv guid="{D9B90A86-BE39-4FED-8226-084809D277F3}" action="delete"/>
  <rdn rId="0" localSheetId="1" customView="1" name="Z_D9B90A86_BE39_4FED_8226_084809D277F3_.wvu.PrintArea" hidden="1" oldHidden="1">
    <formula>'программы '!$A$1:$F$973</formula>
    <oldFormula>'программы '!$A$1:$F$973</oldFormula>
  </rdn>
  <rdn rId="0" localSheetId="1" customView="1" name="Z_D9B90A86_BE39_4FED_8226_084809D277F3_.wvu.FilterData" hidden="1" oldHidden="1">
    <formula>'программы '!$C$1:$C$981</formula>
    <oldFormula>'программы '!$C$1:$C$981</oldFormula>
  </rdn>
  <rcv guid="{D9B90A86-BE39-4FED-8226-084809D277F3}" action="add"/>
</revisions>
</file>

<file path=xl/revisions/revisionLog1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941:XFD944">
    <dxf>
      <fill>
        <patternFill patternType="solid">
          <bgColor rgb="FFFFFF00"/>
        </patternFill>
      </fill>
    </dxf>
  </rfmt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0E81E54-DD45-4653-9DCD-548F6723F554}" action="delete"/>
  <rdn rId="0" localSheetId="1" customView="1" name="Z_30E81E54_DD45_4653_9DCD_548F6723F554_.wvu.PrintArea" hidden="1" oldHidden="1">
    <formula>'программы '!$A$1:$F$757</formula>
    <oldFormula>'программы '!$A$1:$F$757</oldFormula>
  </rdn>
  <rdn rId="0" localSheetId="1" customView="1" name="Z_30E81E54_DD45_4653_9DCD_548F6723F554_.wvu.Rows" hidden="1" oldHidden="1">
    <formula>'программы '!$235:$239</formula>
    <oldFormula>'программы '!$235:$239</oldFormula>
  </rdn>
  <rdn rId="0" localSheetId="1" customView="1" name="Z_30E81E54_DD45_4653_9DCD_548F6723F554_.wvu.FilterData" hidden="1" oldHidden="1">
    <formula>'программы '!$A$1:$A$770</formula>
    <oldFormula>'программы '!$A$1:$A$770</oldFormula>
  </rdn>
  <rcv guid="{30E81E54-DD45-4653-9DCD-548F6723F554}" action="add"/>
</revisions>
</file>

<file path=xl/revisions/revisionLog1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01" sId="1" numFmtId="34">
    <nc r="D944">
      <v>1114839.8999999999</v>
    </nc>
  </rcc>
  <rcc rId="5002" sId="1">
    <oc r="D952">
      <v>1176775.45</v>
    </oc>
    <nc r="D952">
      <f>1176775.45-1114839.9</f>
    </nc>
  </rcc>
</revisions>
</file>

<file path=xl/revisions/revisionLog1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952">
    <dxf>
      <fill>
        <patternFill patternType="solid">
          <bgColor rgb="FFFFFF00"/>
        </patternFill>
      </fill>
    </dxf>
  </rfmt>
  <rcc rId="5003" sId="1" numFmtId="34">
    <oc r="D230">
      <v>112200</v>
    </oc>
    <nc r="D230">
      <f>112200-20117.3</f>
    </nc>
  </rcc>
  <rfmt sheetId="1" sqref="D230">
    <dxf>
      <fill>
        <patternFill patternType="solid">
          <bgColor rgb="FFFFFF00"/>
        </patternFill>
      </fill>
    </dxf>
  </rfmt>
</revisions>
</file>

<file path=xl/revisions/revisionLog1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04" sId="1" numFmtId="34">
    <oc r="D233">
      <v>173500</v>
    </oc>
    <nc r="D233">
      <f>173500+20117.3</f>
    </nc>
  </rcc>
  <rfmt sheetId="1" sqref="D233">
    <dxf>
      <fill>
        <patternFill patternType="solid">
          <bgColor rgb="FFFFFF00"/>
        </patternFill>
      </fill>
    </dxf>
  </rfmt>
</revisions>
</file>

<file path=xl/revisions/revisionLog1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05" sId="1" numFmtId="34">
    <oc r="D331">
      <v>1552000</v>
    </oc>
    <nc r="D331">
      <f>1552000-52000</f>
    </nc>
  </rcc>
  <rfmt sheetId="1" sqref="D331">
    <dxf>
      <fill>
        <patternFill patternType="solid">
          <bgColor rgb="FFFFFF00"/>
        </patternFill>
      </fill>
    </dxf>
  </rfmt>
  <rcc rId="5006" sId="1" numFmtId="34">
    <oc r="D451">
      <v>57584208.140000001</v>
    </oc>
    <nc r="D451">
      <f>57584208.14+2000000</f>
    </nc>
  </rcc>
</revisions>
</file>

<file path=xl/revisions/revisionLog1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451">
    <dxf>
      <fill>
        <patternFill patternType="solid">
          <bgColor rgb="FFFFFF00"/>
        </patternFill>
      </fill>
    </dxf>
  </rfmt>
  <rcc rId="5007" sId="1" numFmtId="34">
    <oc r="D737">
      <v>8457235.4700000007</v>
    </oc>
    <nc r="D737">
      <f>8457235.47+452891.15</f>
    </nc>
  </rcc>
</revisions>
</file>

<file path=xl/revisions/revisionLog1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08" sId="1" numFmtId="34">
    <oc r="D909">
      <v>10934655.529999999</v>
    </oc>
    <nc r="D909">
      <f>10934655.53+295698.92</f>
    </nc>
  </rcc>
  <rfmt sheetId="1" sqref="D909">
    <dxf>
      <fill>
        <patternFill patternType="solid">
          <bgColor rgb="FFFFFF00"/>
        </patternFill>
      </fill>
    </dxf>
  </rfmt>
  <rcc rId="5009" sId="1" numFmtId="34">
    <oc r="D911">
      <v>3302265.97</v>
    </oc>
    <nc r="D911">
      <f>3302265.97+89301.08</f>
    </nc>
  </rcc>
  <rfmt sheetId="1" sqref="D911">
    <dxf>
      <fill>
        <patternFill patternType="solid">
          <bgColor rgb="FFFFFF00"/>
        </patternFill>
      </fill>
    </dxf>
  </rfmt>
</revisions>
</file>

<file path=xl/revisions/revisionLog1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10" sId="1" numFmtId="34">
    <oc r="D916">
      <v>19945958.699999999</v>
    </oc>
    <nc r="D916">
      <f>19945958.7-13819049.83</f>
    </nc>
  </rcc>
  <rfmt sheetId="1" sqref="D916">
    <dxf>
      <fill>
        <patternFill patternType="solid">
          <bgColor rgb="FFFFFF00"/>
        </patternFill>
      </fill>
    </dxf>
  </rfmt>
  <rcc rId="5011" sId="1">
    <oc r="D797">
      <f>2883700+70000</f>
    </oc>
    <nc r="D797">
      <f>2883700+70000-2111604.31</f>
    </nc>
  </rcc>
  <rfmt sheetId="1" sqref="D797">
    <dxf>
      <fill>
        <patternFill patternType="solid">
          <bgColor rgb="FFFFFF00"/>
        </patternFill>
      </fill>
    </dxf>
  </rfmt>
  <rcc rId="5012" sId="1">
    <oc r="D271">
      <f>4772643.2+40062</f>
    </oc>
    <nc r="D271">
      <f>4772643.2+40062+226164.2+100000</f>
    </nc>
  </rcc>
</revisions>
</file>

<file path=xl/revisions/revisionLog1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013" sId="1" ref="A942:XFD942" action="insertRow"/>
  <rrc rId="5014" sId="1" ref="A942:XFD942" action="insertRow"/>
  <rrc rId="5015" sId="1" ref="A942:XFD942" action="insertRow"/>
  <rcc rId="5016" sId="1">
    <nc r="C942">
      <v>200</v>
    </nc>
  </rcc>
  <rcc rId="5017" sId="1">
    <nc r="C943">
      <v>240</v>
    </nc>
  </rcc>
  <rcc rId="5018" sId="1">
    <nc r="C944">
      <v>244</v>
    </nc>
  </rcc>
  <rcc rId="5019" sId="1" xfDxf="1" dxf="1">
    <nc r="A944" t="inlineStr">
      <is>
        <t>Прочая закупка товаров, работ и услуг</t>
      </is>
    </nc>
    <ndxf>
      <font>
        <name val="Times New Roman"/>
        <scheme val="none"/>
      </font>
      <fill>
        <patternFill patternType="solid">
          <bgColor rgb="FFFFFF0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20" sId="1">
    <nc r="A943" t="inlineStr">
      <is>
        <t>Иные закупки товаров,работ и услуг для обеспечения государственных (муниципальных) нужд</t>
      </is>
    </nc>
  </rcc>
  <rcc rId="5021" sId="1">
    <nc r="A942" t="inlineStr">
      <is>
        <t>Закупка товаров, работ и услуг для обеспечения государственных (муниципальных) нужд</t>
      </is>
    </nc>
  </rcc>
  <rcc rId="5022" sId="1" xfDxf="1" dxf="1">
    <nc r="B944" t="inlineStr">
      <is>
        <t>67 0 00 Э8890</t>
      </is>
    </nc>
    <ndxf>
      <font>
        <name val="Times New Roman"/>
        <scheme val="none"/>
      </font>
      <fill>
        <patternFill patternType="solid">
          <bgColor rgb="FFFFFF0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23" sId="1" xfDxf="1" dxf="1">
    <nc r="B943" t="inlineStr">
      <is>
        <t>67 0 00 Э8890</t>
      </is>
    </nc>
    <ndxf>
      <font>
        <name val="Times New Roman"/>
        <scheme val="none"/>
      </font>
      <fill>
        <patternFill patternType="solid">
          <bgColor rgb="FFFFFF0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24" sId="1" xfDxf="1" dxf="1">
    <nc r="B942" t="inlineStr">
      <is>
        <t>67 0 00 Э8890</t>
      </is>
    </nc>
    <ndxf>
      <font>
        <name val="Times New Roman"/>
        <scheme val="none"/>
      </font>
      <fill>
        <patternFill patternType="solid">
          <bgColor rgb="FFFFFF0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025" sId="1">
    <oc r="D941">
      <f>D945</f>
    </oc>
    <nc r="D941">
      <f>D945+D942</f>
    </nc>
  </rcc>
  <rcc rId="5026" sId="1">
    <oc r="E941">
      <f>E945</f>
    </oc>
    <nc r="E941">
      <f>E945+E942</f>
    </nc>
  </rcc>
  <rcc rId="5027" sId="1">
    <oc r="F941">
      <f>F945</f>
    </oc>
    <nc r="F941">
      <f>F945+F942</f>
    </nc>
  </rcc>
  <rcc rId="5028" sId="1">
    <nc r="D943">
      <f>D944</f>
    </nc>
  </rcc>
  <rcc rId="5029" sId="1">
    <nc r="E943">
      <f>E944</f>
    </nc>
  </rcc>
  <rcc rId="5030" sId="1">
    <nc r="F943">
      <f>F944</f>
    </nc>
  </rcc>
  <rcc rId="5031" sId="1">
    <nc r="D942">
      <f>D943</f>
    </nc>
  </rcc>
  <rcc rId="5032" sId="1">
    <nc r="E942">
      <f>E943</f>
    </nc>
  </rcc>
  <rcc rId="5033" sId="1">
    <nc r="F942">
      <f>F943</f>
    </nc>
  </rcc>
  <rcc rId="5034" sId="1" numFmtId="34">
    <nc r="D944">
      <v>1147500</v>
    </nc>
  </rcc>
</revisions>
</file>

<file path=xl/revisions/revisionLog1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035" sId="1" ref="A343:XFD343" action="insertRow">
    <undo index="16" exp="area" ref3D="1" dr="$A$869:$XFD$872" dn="Z_9A752CC5_36AC_48BE_BF4B_1A38C4015906_.wvu.Rows" sId="1"/>
    <undo index="14" exp="area" ref3D="1" dr="$A$823:$XFD$826" dn="Z_9A752CC5_36AC_48BE_BF4B_1A38C4015906_.wvu.Rows" sId="1"/>
    <undo index="12" exp="area" ref3D="1" dr="$A$597:$XFD$598" dn="Z_9A752CC5_36AC_48BE_BF4B_1A38C4015906_.wvu.Rows" sId="1"/>
    <undo index="10" exp="area" ref3D="1" dr="$A$560:$XFD$563" dn="Z_9A752CC5_36AC_48BE_BF4B_1A38C4015906_.wvu.Rows" sId="1"/>
    <undo index="8" exp="area" ref3D="1" dr="$A$546:$XFD$549" dn="Z_9A752CC5_36AC_48BE_BF4B_1A38C4015906_.wvu.Rows" sId="1"/>
    <undo index="6" exp="area" ref3D="1" dr="$A$359:$XFD$361" dn="Z_9A752CC5_36AC_48BE_BF4B_1A38C4015906_.wvu.Rows" sId="1"/>
  </rrc>
  <rrc rId="5036" sId="1" ref="A343:XFD343" action="insertRow">
    <undo index="16" exp="area" ref3D="1" dr="$A$870:$XFD$873" dn="Z_9A752CC5_36AC_48BE_BF4B_1A38C4015906_.wvu.Rows" sId="1"/>
    <undo index="14" exp="area" ref3D="1" dr="$A$824:$XFD$827" dn="Z_9A752CC5_36AC_48BE_BF4B_1A38C4015906_.wvu.Rows" sId="1"/>
    <undo index="12" exp="area" ref3D="1" dr="$A$598:$XFD$599" dn="Z_9A752CC5_36AC_48BE_BF4B_1A38C4015906_.wvu.Rows" sId="1"/>
    <undo index="10" exp="area" ref3D="1" dr="$A$561:$XFD$564" dn="Z_9A752CC5_36AC_48BE_BF4B_1A38C4015906_.wvu.Rows" sId="1"/>
    <undo index="8" exp="area" ref3D="1" dr="$A$547:$XFD$550" dn="Z_9A752CC5_36AC_48BE_BF4B_1A38C4015906_.wvu.Rows" sId="1"/>
    <undo index="6" exp="area" ref3D="1" dr="$A$360:$XFD$362" dn="Z_9A752CC5_36AC_48BE_BF4B_1A38C4015906_.wvu.Rows" sId="1"/>
  </rrc>
  <rrc rId="5037" sId="1" ref="A343:XFD343" action="insertRow">
    <undo index="16" exp="area" ref3D="1" dr="$A$871:$XFD$874" dn="Z_9A752CC5_36AC_48BE_BF4B_1A38C4015906_.wvu.Rows" sId="1"/>
    <undo index="14" exp="area" ref3D="1" dr="$A$825:$XFD$828" dn="Z_9A752CC5_36AC_48BE_BF4B_1A38C4015906_.wvu.Rows" sId="1"/>
    <undo index="12" exp="area" ref3D="1" dr="$A$599:$XFD$600" dn="Z_9A752CC5_36AC_48BE_BF4B_1A38C4015906_.wvu.Rows" sId="1"/>
    <undo index="10" exp="area" ref3D="1" dr="$A$562:$XFD$565" dn="Z_9A752CC5_36AC_48BE_BF4B_1A38C4015906_.wvu.Rows" sId="1"/>
    <undo index="8" exp="area" ref3D="1" dr="$A$548:$XFD$551" dn="Z_9A752CC5_36AC_48BE_BF4B_1A38C4015906_.wvu.Rows" sId="1"/>
    <undo index="6" exp="area" ref3D="1" dr="$A$361:$XFD$363" dn="Z_9A752CC5_36AC_48BE_BF4B_1A38C4015906_.wvu.Rows" sId="1"/>
  </rrc>
  <rcc rId="5038" sId="1">
    <nc r="C343">
      <v>100</v>
    </nc>
  </rcc>
  <rcc rId="5039" sId="1">
    <nc r="C344">
      <v>120</v>
    </nc>
  </rcc>
  <rcc rId="5040" sId="1">
    <nc r="C345">
      <v>123</v>
    </nc>
  </rcc>
  <rcc rId="5041" sId="1">
    <nc r="A345" t="inlineStr">
      <is>
    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    </is>
    </nc>
  </rcc>
  <rcc rId="5042" sId="1">
    <nc r="A344" t="inlineStr">
      <is>
        <t>Расходы на выплату персоналу государственных (муниципальных) органов</t>
      </is>
    </nc>
  </rcc>
  <rcc rId="5043" sId="1">
    <nc r="A343" t="inlineStr">
      <is>
    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  </is>
    </nc>
  </rcc>
  <rcc rId="5044" sId="1">
    <nc r="B345" t="inlineStr">
      <is>
        <t>06 2 00 80420</t>
      </is>
    </nc>
  </rcc>
  <rcc rId="5045" sId="1">
    <nc r="B344" t="inlineStr">
      <is>
        <t>06 2 00 80420</t>
      </is>
    </nc>
  </rcc>
  <rcc rId="5046" sId="1">
    <nc r="B343" t="inlineStr">
      <is>
        <t>06 2 00 80420</t>
      </is>
    </nc>
  </rcc>
  <rfmt sheetId="1" sqref="A343:XFD345">
    <dxf>
      <fill>
        <patternFill patternType="solid">
          <bgColor rgb="FFFFFF00"/>
        </patternFill>
      </fill>
    </dxf>
  </rfmt>
  <rcc rId="5047" sId="1">
    <nc r="D344">
      <f>D345</f>
    </nc>
  </rcc>
  <rcc rId="5048" sId="1">
    <nc r="E344">
      <f>E345</f>
    </nc>
  </rcc>
  <rcc rId="5049" sId="1">
    <nc r="F344">
      <f>F345</f>
    </nc>
  </rcc>
  <rcc rId="5050" sId="1">
    <nc r="D343">
      <f>D344</f>
    </nc>
  </rcc>
  <rcc rId="5051" sId="1">
    <nc r="E343">
      <f>E344</f>
    </nc>
  </rcc>
  <rcc rId="5052" sId="1">
    <nc r="F343">
      <f>F344</f>
    </nc>
  </rcc>
  <rcc rId="5053" sId="1">
    <oc r="D342">
      <f>D346+D368+D349+D357+D353</f>
    </oc>
    <nc r="D342">
      <f>D346+D368+D349+D357+D353+D343</f>
    </nc>
  </rcc>
  <rcc rId="5054" sId="1">
    <oc r="E342">
      <f>E346+E368+E349+E357+E353</f>
    </oc>
    <nc r="E342">
      <f>E346+E368+E349+E357+E353+E343</f>
    </nc>
  </rcc>
  <rcc rId="5055" sId="1">
    <oc r="F342">
      <f>F346+F368+F349+F357+F353</f>
    </oc>
    <nc r="F342">
      <f>F346+F368+F349+F357+F353+F343</f>
    </nc>
  </rcc>
  <rcc rId="5056" sId="1" numFmtId="34">
    <nc r="D345">
      <v>16665.3</v>
    </nc>
  </rcc>
</revisions>
</file>

<file path=xl/revisions/revisionLog1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57" sId="1" numFmtId="34">
    <oc r="D348">
      <v>257000</v>
    </oc>
    <nc r="D348">
      <f>257000-16665.3</f>
    </nc>
  </rcc>
  <rfmt sheetId="1" sqref="D348">
    <dxf>
      <fill>
        <patternFill patternType="solid">
          <bgColor rgb="FFFFFF00"/>
        </patternFill>
      </fill>
    </dxf>
  </rfmt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0E81E54-DD45-4653-9DCD-548F6723F554}" action="delete"/>
  <rdn rId="0" localSheetId="1" customView="1" name="Z_30E81E54_DD45_4653_9DCD_548F6723F554_.wvu.PrintArea" hidden="1" oldHidden="1">
    <formula>'программы '!$A$1:$F$757</formula>
    <oldFormula>'программы '!$A$1:$F$757</oldFormula>
  </rdn>
  <rdn rId="0" localSheetId="1" customView="1" name="Z_30E81E54_DD45_4653_9DCD_548F6723F554_.wvu.Rows" hidden="1" oldHidden="1">
    <formula>'программы '!$235:$239</formula>
    <oldFormula>'программы '!$235:$239</oldFormula>
  </rdn>
  <rdn rId="0" localSheetId="1" customView="1" name="Z_30E81E54_DD45_4653_9DCD_548F6723F554_.wvu.FilterData" hidden="1" oldHidden="1">
    <formula>'программы '!$A$1:$A$770</formula>
    <oldFormula>'программы '!$A$1:$A$770</oldFormula>
  </rdn>
  <rcv guid="{30E81E54-DD45-4653-9DCD-548F6723F554}" action="add"/>
</revisions>
</file>

<file path=xl/revisions/revisionLog1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58" sId="1" numFmtId="34">
    <oc r="D786">
      <v>2532132.8199999998</v>
    </oc>
    <nc r="D786">
      <f>2532132.82+62731.94</f>
    </nc>
  </rcc>
  <rfmt sheetId="1" sqref="D786">
    <dxf>
      <fill>
        <patternFill patternType="solid">
          <bgColor rgb="FFFFFF00"/>
        </patternFill>
      </fill>
    </dxf>
  </rfmt>
</revisions>
</file>

<file path=xl/revisions/revisionLog1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59" sId="1" numFmtId="34">
    <oc r="D424">
      <v>2225871.17</v>
    </oc>
    <nc r="D424">
      <f>2225871.17+39843.36</f>
    </nc>
  </rcc>
  <rfmt sheetId="1" sqref="D424">
    <dxf>
      <fill>
        <patternFill patternType="solid">
          <bgColor rgb="FFFFFF00"/>
        </patternFill>
      </fill>
    </dxf>
  </rfmt>
</revisions>
</file>

<file path=xl/revisions/revisionLog1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60" sId="1" numFmtId="34">
    <oc r="D501">
      <v>1512000</v>
    </oc>
    <nc r="D501">
      <f>1512000</f>
    </nc>
  </rcc>
  <rcc rId="5061" sId="1" numFmtId="34">
    <oc r="D497">
      <v>97534.510000000009</v>
    </oc>
    <nc r="D497">
      <f>97534.51-97534.51</f>
    </nc>
  </rcc>
</revisions>
</file>

<file path=xl/revisions/revisionLog1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62" sId="1">
    <oc r="D327">
      <f>626262+540263.29-648</f>
    </oc>
    <nc r="D327">
      <f>626262+540263.29-648+384000</f>
    </nc>
  </rcc>
  <rfmt sheetId="1" sqref="D327">
    <dxf>
      <fill>
        <patternFill patternType="solid">
          <bgColor rgb="FFFFFF00"/>
        </patternFill>
      </fill>
    </dxf>
  </rfmt>
</revisions>
</file>

<file path=xl/revisions/revisionLog1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63" sId="1" numFmtId="34">
    <oc r="D328">
      <v>315174.71000000002</v>
    </oc>
    <nc r="D328">
      <f>315174.71+16000</f>
    </nc>
  </rcc>
  <rfmt sheetId="1" sqref="D328">
    <dxf>
      <fill>
        <patternFill patternType="solid">
          <bgColor rgb="FFFFFF00"/>
        </patternFill>
      </fill>
    </dxf>
  </rfmt>
</revisions>
</file>

<file path=xl/revisions/revisionLog1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64" sId="1" numFmtId="34">
    <oc r="D774">
      <v>440000</v>
    </oc>
    <nc r="D774">
      <f>440000-39546.6</f>
    </nc>
  </rcc>
  <rfmt sheetId="1" sqref="D774">
    <dxf>
      <fill>
        <patternFill patternType="solid">
          <bgColor rgb="FFFFFF00"/>
        </patternFill>
      </fill>
    </dxf>
  </rfmt>
  <rcc rId="5065" sId="1" numFmtId="34">
    <oc r="D819">
      <v>72000</v>
    </oc>
    <nc r="D819">
      <f>72000+39546.6</f>
    </nc>
  </rcc>
  <rfmt sheetId="1" sqref="D819">
    <dxf>
      <fill>
        <patternFill patternType="solid">
          <bgColor rgb="FFFFFF00"/>
        </patternFill>
      </fill>
    </dxf>
  </rfmt>
  <rrc rId="5066" sId="1" ref="A464:XFD464" action="insertRow">
    <undo index="16" exp="area" ref3D="1" dr="$A$872:$XFD$875" dn="Z_9A752CC5_36AC_48BE_BF4B_1A38C4015906_.wvu.Rows" sId="1"/>
    <undo index="14" exp="area" ref3D="1" dr="$A$826:$XFD$829" dn="Z_9A752CC5_36AC_48BE_BF4B_1A38C4015906_.wvu.Rows" sId="1"/>
    <undo index="12" exp="area" ref3D="1" dr="$A$600:$XFD$601" dn="Z_9A752CC5_36AC_48BE_BF4B_1A38C4015906_.wvu.Rows" sId="1"/>
    <undo index="10" exp="area" ref3D="1" dr="$A$563:$XFD$566" dn="Z_9A752CC5_36AC_48BE_BF4B_1A38C4015906_.wvu.Rows" sId="1"/>
    <undo index="8" exp="area" ref3D="1" dr="$A$549:$XFD$552" dn="Z_9A752CC5_36AC_48BE_BF4B_1A38C4015906_.wvu.Rows" sId="1"/>
  </rrc>
  <rrc rId="5067" sId="1" ref="A464:XFD464" action="insertRow">
    <undo index="16" exp="area" ref3D="1" dr="$A$873:$XFD$876" dn="Z_9A752CC5_36AC_48BE_BF4B_1A38C4015906_.wvu.Rows" sId="1"/>
    <undo index="14" exp="area" ref3D="1" dr="$A$827:$XFD$830" dn="Z_9A752CC5_36AC_48BE_BF4B_1A38C4015906_.wvu.Rows" sId="1"/>
    <undo index="12" exp="area" ref3D="1" dr="$A$601:$XFD$602" dn="Z_9A752CC5_36AC_48BE_BF4B_1A38C4015906_.wvu.Rows" sId="1"/>
    <undo index="10" exp="area" ref3D="1" dr="$A$564:$XFD$567" dn="Z_9A752CC5_36AC_48BE_BF4B_1A38C4015906_.wvu.Rows" sId="1"/>
    <undo index="8" exp="area" ref3D="1" dr="$A$550:$XFD$553" dn="Z_9A752CC5_36AC_48BE_BF4B_1A38C4015906_.wvu.Rows" sId="1"/>
  </rrc>
  <rrc rId="5068" sId="1" ref="A464:XFD464" action="insertRow">
    <undo index="16" exp="area" ref3D="1" dr="$A$874:$XFD$877" dn="Z_9A752CC5_36AC_48BE_BF4B_1A38C4015906_.wvu.Rows" sId="1"/>
    <undo index="14" exp="area" ref3D="1" dr="$A$828:$XFD$831" dn="Z_9A752CC5_36AC_48BE_BF4B_1A38C4015906_.wvu.Rows" sId="1"/>
    <undo index="12" exp="area" ref3D="1" dr="$A$602:$XFD$603" dn="Z_9A752CC5_36AC_48BE_BF4B_1A38C4015906_.wvu.Rows" sId="1"/>
    <undo index="10" exp="area" ref3D="1" dr="$A$565:$XFD$568" dn="Z_9A752CC5_36AC_48BE_BF4B_1A38C4015906_.wvu.Rows" sId="1"/>
    <undo index="8" exp="area" ref3D="1" dr="$A$551:$XFD$554" dn="Z_9A752CC5_36AC_48BE_BF4B_1A38C4015906_.wvu.Rows" sId="1"/>
  </rrc>
  <rcc rId="5069" sId="1">
    <nc r="C464">
      <v>400</v>
    </nc>
  </rcc>
  <rcc rId="5070" sId="1">
    <nc r="C465">
      <v>410</v>
    </nc>
  </rcc>
  <rcc rId="5071" sId="1">
    <nc r="C466">
      <v>414</v>
    </nc>
  </rcc>
  <rcc rId="5072" sId="1">
    <nc r="A466" t="inlineStr">
      <is>
        <t>Бюджетные инвестиции в объекты капитального строительства государственной (муниципальной) собственности</t>
      </is>
    </nc>
  </rcc>
  <rcc rId="5073" sId="1">
    <nc r="A465" t="inlineStr">
      <is>
        <t>Бюджетные инвестиции</t>
      </is>
    </nc>
  </rcc>
  <rcc rId="5074" sId="1">
    <nc r="A464" t="inlineStr">
      <is>
        <t>Капитальные вложения в объекты государственной (муниципальной) собственности</t>
      </is>
    </nc>
  </rcc>
  <rcc rId="5075" sId="1">
    <nc r="B464" t="inlineStr">
      <is>
        <t>12 2 00 80400</t>
      </is>
    </nc>
  </rcc>
  <rcc rId="5076" sId="1" xfDxf="1" s="1" dxf="1">
    <nc r="B465" t="inlineStr">
      <is>
        <t>12 2 00 80400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ndxf>
  </rcc>
  <rcc rId="5077" sId="1" xfDxf="1" s="1" dxf="1">
    <nc r="B466" t="inlineStr">
      <is>
        <t>12 2 00 80400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ndxf>
  </rcc>
  <rcc rId="5078" sId="1">
    <nc r="D465">
      <f>D466</f>
    </nc>
  </rcc>
  <rcc rId="5079" sId="1">
    <nc r="E465">
      <f>E466</f>
    </nc>
  </rcc>
  <rcc rId="5080" sId="1">
    <nc r="F465">
      <f>F466</f>
    </nc>
  </rcc>
  <rcc rId="5081" sId="1">
    <nc r="D464">
      <f>D465</f>
    </nc>
  </rcc>
  <rcc rId="5082" sId="1">
    <nc r="E464">
      <f>E465</f>
    </nc>
  </rcc>
  <rcc rId="5083" sId="1">
    <nc r="F464">
      <f>F465</f>
    </nc>
  </rcc>
  <rcc rId="5084" sId="1" numFmtId="34">
    <nc r="D466">
      <v>10000000</v>
    </nc>
  </rcc>
  <rfmt sheetId="1" sqref="D466">
    <dxf>
      <fill>
        <patternFill patternType="solid">
          <bgColor rgb="FFFFFF00"/>
        </patternFill>
      </fill>
    </dxf>
  </rfmt>
  <rfmt sheetId="1" sqref="A464:XFD466">
    <dxf>
      <fill>
        <patternFill>
          <bgColor rgb="FFFFFF00"/>
        </patternFill>
      </fill>
    </dxf>
  </rfmt>
  <rcv guid="{D9B90A86-BE39-4FED-8226-084809D277F3}" action="delete"/>
  <rdn rId="0" localSheetId="1" customView="1" name="Z_D9B90A86_BE39_4FED_8226_084809D277F3_.wvu.PrintArea" hidden="1" oldHidden="1">
    <formula>'программы '!$A$1:$F$982</formula>
    <oldFormula>'программы '!$A$1:$F$982</oldFormula>
  </rdn>
  <rdn rId="0" localSheetId="1" customView="1" name="Z_D9B90A86_BE39_4FED_8226_084809D277F3_.wvu.FilterData" hidden="1" oldHidden="1">
    <formula>'программы '!$C$1:$C$990</formula>
    <oldFormula>'программы '!$C$1:$C$990</oldFormula>
  </rdn>
  <rcv guid="{D9B90A86-BE39-4FED-8226-084809D277F3}" action="add"/>
</revisions>
</file>

<file path=xl/revisions/revisionLog1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87" sId="1">
    <oc r="D460">
      <f>D462</f>
    </oc>
    <nc r="D460">
      <f>D462+D464</f>
    </nc>
  </rcc>
  <rcc rId="5088" sId="1">
    <oc r="E460">
      <f>E462</f>
    </oc>
    <nc r="E460">
      <f>E462+E464</f>
    </nc>
  </rcc>
  <rcc rId="5089" sId="1">
    <oc r="F460">
      <f>F462</f>
    </oc>
    <nc r="F460">
      <f>F462+F464</f>
    </nc>
  </rcc>
  <rrc rId="5090" sId="1" ref="A950:XFD950" action="insertRow"/>
  <rcc rId="5091" sId="1">
    <nc r="C950">
      <v>243</v>
    </nc>
  </rcc>
  <rcc rId="5092" sId="1">
    <nc r="B950" t="inlineStr">
      <is>
        <t>67 0 00 Э8890</t>
      </is>
    </nc>
  </rcc>
  <rcc rId="5093" sId="1" odxf="1" dxf="1">
    <nc r="A950" t="inlineStr">
      <is>
        <t>Закупка товаров, работ, услуг в целях капитального
ремонта государственного (муниципального) имущества</t>
      </is>
    </nc>
    <odxf>
      <alignment wrapText="0" readingOrder="0"/>
    </odxf>
    <ndxf>
      <alignment wrapText="1" readingOrder="0"/>
    </ndxf>
  </rcc>
  <rcc rId="5094" sId="1" numFmtId="34">
    <nc r="D950">
      <v>2700000</v>
    </nc>
  </rcc>
  <rcc rId="5095" sId="1">
    <oc r="D949">
      <f>D951</f>
    </oc>
    <nc r="D949">
      <f>D951+D950</f>
    </nc>
  </rcc>
  <rcc rId="5096" sId="1">
    <oc r="E949">
      <f>E951</f>
    </oc>
    <nc r="E949">
      <f>E951+E950</f>
    </nc>
  </rcc>
  <rcc rId="5097" sId="1">
    <oc r="F949">
      <f>F951</f>
    </oc>
    <nc r="F949">
      <f>F951+F950</f>
    </nc>
  </rcc>
</revisions>
</file>

<file path=xl/revisions/revisionLog1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98" sId="1" numFmtId="34">
    <oc r="D958">
      <v>2850000</v>
    </oc>
    <nc r="D958">
      <f>2850000+150000</f>
    </nc>
  </rcc>
</revisions>
</file>

<file path=xl/revisions/revisionLog1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99" sId="1" numFmtId="34">
    <oc r="D794">
      <v>410000</v>
    </oc>
    <nc r="D794">
      <f>410000+127434.02</f>
    </nc>
  </rcc>
  <rfmt sheetId="1" sqref="D794">
    <dxf>
      <fill>
        <patternFill patternType="solid">
          <bgColor rgb="FFFFFF00"/>
        </patternFill>
      </fill>
    </dxf>
  </rfmt>
  <rcv guid="{D9B90A86-BE39-4FED-8226-084809D277F3}" action="delete"/>
  <rdn rId="0" localSheetId="1" customView="1" name="Z_D9B90A86_BE39_4FED_8226_084809D277F3_.wvu.PrintArea" hidden="1" oldHidden="1">
    <formula>'программы '!$A$1:$F$983</formula>
    <oldFormula>'программы '!$A$1:$F$983</oldFormula>
  </rdn>
  <rdn rId="0" localSheetId="1" customView="1" name="Z_D9B90A86_BE39_4FED_8226_084809D277F3_.wvu.FilterData" hidden="1" oldHidden="1">
    <formula>'программы '!$C$1:$C$991</formula>
    <oldFormula>'программы '!$C$1:$C$991</oldFormula>
  </rdn>
  <rcv guid="{D9B90A86-BE39-4FED-8226-084809D277F3}" action="add"/>
</revisions>
</file>

<file path=xl/revisions/revisionLog1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102" sId="1" ref="A837:XFD837" action="insertRow">
    <undo index="16" exp="area" ref3D="1" dr="$A$875:$XFD$878" dn="Z_9A752CC5_36AC_48BE_BF4B_1A38C4015906_.wvu.Rows" sId="1"/>
  </rrc>
  <rrc rId="5103" sId="1" ref="A837:XFD837" action="insertRow">
    <undo index="16" exp="area" ref3D="1" dr="$A$876:$XFD$879" dn="Z_9A752CC5_36AC_48BE_BF4B_1A38C4015906_.wvu.Rows" sId="1"/>
  </rrc>
  <rrc rId="5104" sId="1" ref="A837:XFD837" action="insertRow">
    <undo index="16" exp="area" ref3D="1" dr="$A$877:$XFD$880" dn="Z_9A752CC5_36AC_48BE_BF4B_1A38C4015906_.wvu.Rows" sId="1"/>
  </rrc>
  <rrc rId="5105" sId="1" ref="A837:XFD837" action="insertRow">
    <undo index="16" exp="area" ref3D="1" dr="$A$878:$XFD$881" dn="Z_9A752CC5_36AC_48BE_BF4B_1A38C4015906_.wvu.Rows" sId="1"/>
  </rrc>
  <rcc rId="5106" sId="1">
    <nc r="A840" t="inlineStr">
      <is>
        <t xml:space="preserve">Прочая закупка товаров, работ и услуг </t>
      </is>
    </nc>
  </rcc>
  <rcc rId="5107" sId="1">
    <nc r="A839" t="inlineStr">
      <is>
        <t>Иные закупки товаров,работ и услуг для обеспечения государственных (муниципальных) нужд</t>
      </is>
    </nc>
  </rcc>
  <rcc rId="5108" sId="1">
    <nc r="A838" t="inlineStr">
      <is>
        <t>Закупка товаров, работ и услуг для обеспечения государственных (муниципальных) нужд</t>
      </is>
    </nc>
  </rcc>
  <rcc rId="5109" sId="1">
    <nc r="A837" t="inlineStr">
      <is>
        <t>Прочие расходы по муниципальному жилищному фонду</t>
      </is>
    </nc>
  </rcc>
  <rfmt sheetId="1" sqref="A837:XFD840">
    <dxf>
      <fill>
        <patternFill>
          <bgColor rgb="FFFF0000"/>
        </patternFill>
      </fill>
    </dxf>
  </rfmt>
  <rcc rId="5110" sId="1">
    <nc r="C840">
      <v>244</v>
    </nc>
  </rcc>
  <rcc rId="5111" sId="1">
    <nc r="C839">
      <v>240</v>
    </nc>
  </rcc>
  <rcc rId="5112" sId="1">
    <nc r="C838">
      <v>200</v>
    </nc>
  </rcc>
  <rcc rId="5113" sId="1">
    <nc r="B838" t="inlineStr">
      <is>
        <t>59 0 00 83662</t>
      </is>
    </nc>
  </rcc>
  <rcc rId="5114" sId="1">
    <nc r="B839" t="inlineStr">
      <is>
        <t>59 0 00 83662</t>
      </is>
    </nc>
  </rcc>
  <rcc rId="5115" sId="1">
    <nc r="B840" t="inlineStr">
      <is>
        <t>59 0 00 83662</t>
      </is>
    </nc>
  </rcc>
  <rcc rId="5116" sId="1">
    <nc r="B837" t="inlineStr">
      <is>
        <t>59 0 00 83662</t>
      </is>
    </nc>
  </rcc>
  <rcc rId="5117" sId="1">
    <nc r="D839">
      <f>D840</f>
    </nc>
  </rcc>
  <rcc rId="5118" sId="1">
    <nc r="E839">
      <f>E840</f>
    </nc>
  </rcc>
  <rcc rId="5119" sId="1">
    <nc r="F839">
      <f>F840</f>
    </nc>
  </rcc>
  <rcc rId="5120" sId="1">
    <nc r="D838">
      <f>D839</f>
    </nc>
  </rcc>
  <rcc rId="5121" sId="1">
    <nc r="E838">
      <f>E839</f>
    </nc>
  </rcc>
  <rcc rId="5122" sId="1">
    <nc r="F838">
      <f>F839</f>
    </nc>
  </rcc>
  <rcc rId="5123" sId="1">
    <nc r="D837">
      <f>D838</f>
    </nc>
  </rcc>
  <rcc rId="5124" sId="1">
    <nc r="E837">
      <f>E838</f>
    </nc>
  </rcc>
  <rcc rId="5125" sId="1">
    <nc r="F837">
      <f>F838</f>
    </nc>
  </rcc>
  <rcc rId="5126" sId="1" numFmtId="34">
    <nc r="D840">
      <v>45000</v>
    </nc>
  </rcc>
  <rcc rId="5127" sId="1">
    <oc r="D799">
      <f>D800+D808+D812+D841+D829+D833</f>
    </oc>
    <nc r="D799">
      <f>D800+D808+D812+D841+D829+D833+D837</f>
    </nc>
  </rcc>
  <rcc rId="5128" sId="1">
    <oc r="E799">
      <f>E800+E808+E812+E841+E829+E833</f>
    </oc>
    <nc r="E799">
      <f>E800+E808+E812+E841+E829+E833+E837</f>
    </nc>
  </rcc>
  <rcc rId="5129" sId="1">
    <oc r="F799">
      <f>F800+F808+F812+F841+F829+F833</f>
    </oc>
    <nc r="F799">
      <f>F800+F808+F812+F841+F829+F833+F837</f>
    </nc>
  </rcc>
  <rcc rId="5130" sId="1">
    <oc r="D803">
      <f>2883700+70000-2111604.31</f>
    </oc>
    <nc r="D803">
      <f>2883700+70000-2111604.31+26700</f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821" sId="1" ref="A1:XFD1" action="deleteRow">
    <undo index="0" exp="area" ref3D="1" dr="$A$1:$A$770" dn="Z_30E81E54_DD45_4653_9DCD_548F6723F554_.wvu.FilterData" sId="1"/>
    <undo index="0" exp="area" ref3D="1" dr="$A$1:$A$770" dn="_ФильтрБазыДанных" sId="1"/>
    <undo index="0" exp="area" ref3D="1" dr="$B$1:$B$765" dn="Z_7E5C1749_FF4E_4347_A58E_2DEF63C9D9CB_.wvu.FilterData" sId="1"/>
    <undo index="0" exp="area" ref3D="1" dr="$A$1:$F$757" dn="Z_547FB17C_1FA3_4D81_B22A_42218056849D_.wvu.PrintArea" sId="1"/>
    <undo index="0" exp="area" ref3D="1" dr="$B$1:$B$765" dn="Z_547FB17C_1FA3_4D81_B22A_42218056849D_.wvu.FilterData" sId="1"/>
    <undo index="0" exp="area" ref3D="1" dr="$B$1:$B$765" dn="Z_683BEDAB_5AF7_4F46_BC3A_F9D325B8EF01_.wvu.FilterData" sId="1"/>
    <undo index="0" exp="area" ref3D="1" dr="$A$235:$XFD$239" dn="Z_30E81E54_DD45_4653_9DCD_548F6723F554_.wvu.Rows" sId="1"/>
    <undo index="0" exp="area" ref3D="1" dr="$A$1:$F$757" dn="Z_30E81E54_DD45_4653_9DCD_548F6723F554_.wvu.PrintArea" sId="1"/>
    <undo index="0" exp="area" ref3D="1" dr="$A$1:$F$757" dn="Область_печати" sId="1"/>
    <undo index="0" exp="area" ref3D="1" dr="$B$1:$B$765" dn="Z_C401343A_675B_4FC1_A6F5_67CE31618685_.wvu.FilterData" sId="1"/>
    <undo index="0" exp="area" ref3D="1" dr="$B$1:$B$765" dn="Z_6F8BA463_0055_46DE_8D23_E8E86D83EC4B_.wvu.FilterData" sId="1"/>
    <undo index="0" exp="area" ref3D="1" dr="$A$1:$A$770" dn="Z_9A752CC5_36AC_48BE_BF4B_1A38C4015906_.wvu.FilterData" sId="1"/>
    <undo index="0" exp="area" ref3D="1" dr="$B$1:$B$765" dn="Z_F8703169_880A_4977_8713_9386DA2F09A9_.wvu.FilterData" sId="1"/>
    <rfmt sheetId="1" xfDxf="1" sqref="A1:XFD1" start="0" length="0">
      <dxf>
        <font>
          <name val="Times New Roman"/>
          <scheme val="none"/>
        </font>
        <alignment vertical="center" readingOrder="0"/>
      </dxf>
    </rfmt>
    <rcc rId="0" sId="1" s="1" dxf="1">
      <nc r="A1" t="inlineStr">
        <is>
          <t>Приложение № 4 к таблице поправок</t>
        </is>
      </nc>
      <ndxf>
        <alignment horizontal="right" readingOrder="0"/>
      </ndxf>
    </rcc>
    <rfmt sheetId="1" s="1" sqref="B1" start="0" length="0">
      <dxf>
        <alignment horizontal="right" readingOrder="0"/>
      </dxf>
    </rfmt>
    <rfmt sheetId="1" s="1" sqref="C1" start="0" length="0">
      <dxf>
        <alignment horizontal="right" readingOrder="0"/>
      </dxf>
    </rfmt>
    <rfmt sheetId="1" s="1" sqref="D1" start="0" length="0">
      <dxf>
        <alignment horizontal="right" readingOrder="0"/>
      </dxf>
    </rfmt>
    <rfmt sheetId="1" s="1" sqref="E1" start="0" length="0">
      <dxf>
        <alignment horizontal="right" readingOrder="0"/>
      </dxf>
    </rfmt>
    <rfmt sheetId="1" s="1" sqref="F1" start="0" length="0">
      <dxf>
        <alignment horizontal="right" readingOrder="0"/>
      </dxf>
    </rfmt>
  </rrc>
  <rrc rId="2822" sId="1" ref="A1:XFD1" action="deleteRow">
    <undo index="0" exp="area" ref3D="1" dr="$A$1:$A$769" dn="Z_30E81E54_DD45_4653_9DCD_548F6723F554_.wvu.FilterData" sId="1"/>
    <undo index="0" exp="area" ref3D="1" dr="$A$1:$A$769" dn="_ФильтрБазыДанных" sId="1"/>
    <undo index="0" exp="area" ref3D="1" dr="$B$1:$B$764" dn="Z_7E5C1749_FF4E_4347_A58E_2DEF63C9D9CB_.wvu.FilterData" sId="1"/>
    <undo index="0" exp="area" ref3D="1" dr="$A$1:$F$756" dn="Z_547FB17C_1FA3_4D81_B22A_42218056849D_.wvu.PrintArea" sId="1"/>
    <undo index="0" exp="area" ref3D="1" dr="$B$1:$B$764" dn="Z_547FB17C_1FA3_4D81_B22A_42218056849D_.wvu.FilterData" sId="1"/>
    <undo index="0" exp="area" ref3D="1" dr="$B$1:$B$764" dn="Z_683BEDAB_5AF7_4F46_BC3A_F9D325B8EF01_.wvu.FilterData" sId="1"/>
    <undo index="0" exp="area" ref3D="1" dr="$A$234:$XFD$238" dn="Z_30E81E54_DD45_4653_9DCD_548F6723F554_.wvu.Rows" sId="1"/>
    <undo index="0" exp="area" ref3D="1" dr="$A$1:$F$756" dn="Z_30E81E54_DD45_4653_9DCD_548F6723F554_.wvu.PrintArea" sId="1"/>
    <undo index="0" exp="area" ref3D="1" dr="$A$1:$F$756" dn="Область_печати" sId="1"/>
    <undo index="0" exp="area" ref3D="1" dr="$B$1:$B$764" dn="Z_C401343A_675B_4FC1_A6F5_67CE31618685_.wvu.FilterData" sId="1"/>
    <undo index="0" exp="area" ref3D="1" dr="$B$1:$B$764" dn="Z_6F8BA463_0055_46DE_8D23_E8E86D83EC4B_.wvu.FilterData" sId="1"/>
    <undo index="0" exp="area" ref3D="1" dr="$A$1:$A$769" dn="Z_9A752CC5_36AC_48BE_BF4B_1A38C4015906_.wvu.FilterData" sId="1"/>
    <undo index="0" exp="area" ref3D="1" dr="$B$1:$B$764" dn="Z_F8703169_880A_4977_8713_9386DA2F09A9_.wvu.FilterData" sId="1"/>
    <rfmt sheetId="1" xfDxf="1" sqref="A1:XFD1" start="0" length="0">
      <dxf>
        <font>
          <name val="Times New Roman"/>
          <scheme val="none"/>
        </font>
        <alignment vertical="center" readingOrder="0"/>
      </dxf>
    </rfmt>
    <rfmt sheetId="1" s="1" sqref="A1" start="0" length="0">
      <dxf>
        <alignment horizontal="right" readingOrder="0"/>
      </dxf>
    </rfmt>
    <rfmt sheetId="1" s="1" sqref="B1" start="0" length="0">
      <dxf>
        <alignment horizontal="right" readingOrder="0"/>
      </dxf>
    </rfmt>
    <rfmt sheetId="1" s="1" sqref="C1" start="0" length="0">
      <dxf>
        <alignment horizontal="right" readingOrder="0"/>
      </dxf>
    </rfmt>
    <rfmt sheetId="1" s="1" sqref="D1" start="0" length="0">
      <dxf>
        <alignment horizontal="right" readingOrder="0"/>
      </dxf>
    </rfmt>
    <rfmt sheetId="1" s="1" sqref="E1" start="0" length="0">
      <dxf>
        <alignment horizontal="right" readingOrder="0"/>
      </dxf>
    </rfmt>
    <rfmt sheetId="1" s="1" sqref="F1" start="0" length="0">
      <dxf>
        <alignment horizontal="right" readingOrder="0"/>
      </dxf>
    </rfmt>
  </rrc>
  <rcc rId="2823" sId="1">
    <oc r="F4" t="inlineStr">
      <is>
        <t xml:space="preserve">от                  февраля 2024 года № </t>
      </is>
    </oc>
    <nc r="F4" t="inlineStr">
      <is>
        <t xml:space="preserve">от                  апреля 2024 года №   </t>
      </is>
    </nc>
  </rcc>
  <rdn rId="0" localSheetId="1" customView="1" name="Z_D9B90A86_BE39_4FED_8226_084809D277F3_.wvu.PrintArea" hidden="1" oldHidden="1">
    <formula>'программы '!$A$1:$F$755</formula>
  </rdn>
  <rdn rId="0" localSheetId="1" customView="1" name="Z_D9B90A86_BE39_4FED_8226_084809D277F3_.wvu.Rows" hidden="1" oldHidden="1">
    <formula>'программы '!$233:$237</formula>
  </rdn>
  <rdn rId="0" localSheetId="1" customView="1" name="Z_D9B90A86_BE39_4FED_8226_084809D277F3_.wvu.FilterData" hidden="1" oldHidden="1">
    <formula>'программы '!$A$1:$A$768</formula>
  </rdn>
  <rcv guid="{D9B90A86-BE39-4FED-8226-084809D277F3}" action="add"/>
</revisions>
</file>

<file path=xl/revisions/revisionLog1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31" sId="1">
    <oc r="D542">
      <f>55099.99+1375048.64-600000</f>
    </oc>
    <nc r="D542">
      <f>55099.99+1375048.64-600000-727434.02</f>
    </nc>
  </rcc>
</revisions>
</file>

<file path=xl/revisions/revisionLog1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32" sId="1">
    <oc r="D542">
      <f>55099.99+1375048.64-600000-727434.02</f>
    </oc>
    <nc r="D542">
      <f>55099.99+1375048.64-727434.02</f>
    </nc>
  </rcc>
  <rcc rId="5133" sId="1" numFmtId="34">
    <oc r="D955">
      <v>1147500</v>
    </oc>
    <nc r="D955">
      <f>1147500+5850000</f>
    </nc>
  </rcc>
  <rcc rId="5134" sId="1">
    <oc r="D963">
      <f>11409500-2850000</f>
    </oc>
    <nc r="D963">
      <f>11409500-2850000-5850000</f>
    </nc>
  </rcc>
</revisions>
</file>

<file path=xl/revisions/revisionLog1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35" sId="1" numFmtId="34">
    <oc r="D668">
      <v>994070.79</v>
    </oc>
    <nc r="D668">
      <f>994070.79+166161.24</f>
    </nc>
  </rcc>
  <rcc rId="5136" sId="1" numFmtId="34">
    <oc r="D669">
      <v>300209.38000000006</v>
    </oc>
    <nc r="D669">
      <f>300209.38+50180.7</f>
    </nc>
  </rcc>
  <rcc rId="5137" sId="1" numFmtId="34">
    <oc r="D674">
      <v>3699216.81</v>
    </oc>
    <nc r="D674">
      <f>3699216.81-166161.24</f>
    </nc>
  </rcc>
  <rcc rId="5138" sId="1" numFmtId="34">
    <oc r="D677">
      <v>1117163.47</v>
    </oc>
    <nc r="D677">
      <f>1117163.47-50180.7</f>
    </nc>
  </rcc>
</revisions>
</file>

<file path=xl/revisions/revisionLog1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39" sId="1">
    <oc r="D803">
      <f>2883700+70000-2111604.31+26700</f>
    </oc>
    <nc r="D803">
      <f>2883700+70000-2111604.31+267000</f>
    </nc>
  </rcc>
</revisions>
</file>

<file path=xl/revisions/revisionLog1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40" sId="1" numFmtId="34">
    <oc r="D976">
      <v>61935.55</v>
    </oc>
    <nc r="D976">
      <v>1176775.45</v>
    </nc>
  </rcc>
  <rcc rId="5141" sId="1">
    <oc r="D963">
      <f>11409500-2850000-5850000</f>
    </oc>
    <nc r="D963">
      <f>11409500-2850000-5850000-1147500</f>
    </nc>
  </rcc>
</revisions>
</file>

<file path=xl/revisions/revisionLog1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42" sId="1">
    <oc r="D962">
      <f>2850000+150000</f>
    </oc>
    <nc r="D962">
      <f>2850000-2700000</f>
    </nc>
  </rcc>
  <rcv guid="{D9B90A86-BE39-4FED-8226-084809D277F3}" action="delete"/>
  <rdn rId="0" localSheetId="1" customView="1" name="Z_D9B90A86_BE39_4FED_8226_084809D277F3_.wvu.PrintArea" hidden="1" oldHidden="1">
    <formula>'программы '!$A$1:$F$987</formula>
    <oldFormula>'программы '!$A$1:$F$987</oldFormula>
  </rdn>
  <rdn rId="0" localSheetId="1" customView="1" name="Z_D9B90A86_BE39_4FED_8226_084809D277F3_.wvu.FilterData" hidden="1" oldHidden="1">
    <formula>'программы '!$C$1:$C$995</formula>
    <oldFormula>'программы '!$C$1:$C$995</oldFormula>
  </rdn>
  <rcv guid="{D9B90A86-BE39-4FED-8226-084809D277F3}" action="add"/>
</revisions>
</file>

<file path=xl/revisions/revisionLog1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942" start="0" length="2147483647">
    <dxf>
      <font>
        <b/>
      </font>
    </dxf>
  </rfmt>
  <rfmt sheetId="1" sqref="D942" start="0" length="2147483647">
    <dxf>
      <font>
        <i/>
      </font>
    </dxf>
  </rfmt>
</revisions>
</file>

<file path=xl/revisions/revisionLog1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45" sId="1">
    <oc r="D976">
      <v>1176775.45</v>
    </oc>
    <nc r="D976">
      <f>1176775.45-1114839.9</f>
    </nc>
  </rcc>
</revisions>
</file>

<file path=xl/revisions/revisionLog1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46" sId="1">
    <oc r="D276">
      <f>7881164.9-40468.9</f>
    </oc>
    <nc r="D276">
      <f>7881164.9-320468.9</f>
    </nc>
  </rcc>
</revisions>
</file>

<file path=xl/revisions/revisionLog1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47" sId="1">
    <oc r="D875">
      <f>383912.82</f>
    </oc>
    <nc r="D875">
      <f>383912.82+25000</f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27" sId="1" numFmtId="34">
    <oc r="C470">
      <v>414</v>
    </oc>
    <nc r="C470">
      <v>412</v>
    </nc>
  </rcc>
  <rcc rId="2828" sId="1" xfDxf="1" dxf="1">
    <oc r="A470" t="inlineStr">
      <is>
        <t>Бюджетные инвестиции в объекты капитального строительства государственной (муниципальной) собственностидии</t>
      </is>
    </oc>
    <nc r="A470" t="inlineStr">
      <is>
        <t>Бюджетные инвестиции на приобретение объектов недвижимого имущества в государственную (муниципальную) собственность</t>
      </is>
    </nc>
    <ndxf>
      <font>
        <name val="Times New Roman"/>
        <family val="1"/>
      </font>
      <alignment horizontal="justify" vertical="center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v guid="{D9B90A86-BE39-4FED-8226-084809D277F3}" action="delete"/>
  <rdn rId="0" localSheetId="1" customView="1" name="Z_D9B90A86_BE39_4FED_8226_084809D277F3_.wvu.PrintArea" hidden="1" oldHidden="1">
    <formula>'программы '!$A$1:$F$755</formula>
    <oldFormula>'программы '!$A$1:$F$755</oldFormula>
  </rdn>
  <rdn rId="0" localSheetId="1" customView="1" name="Z_D9B90A86_BE39_4FED_8226_084809D277F3_.wvu.Rows" hidden="1" oldHidden="1">
    <formula>'программы '!$233:$237</formula>
    <oldFormula>'программы '!$233:$237</oldFormula>
  </rdn>
  <rdn rId="0" localSheetId="1" customView="1" name="Z_D9B90A86_BE39_4FED_8226_084809D277F3_.wvu.FilterData" hidden="1" oldHidden="1">
    <formula>'программы '!$A$1:$A$768</formula>
    <oldFormula>'программы '!$A$1:$A$768</oldFormula>
  </rdn>
  <rcv guid="{D9B90A86-BE39-4FED-8226-084809D277F3}" action="add"/>
</revisions>
</file>

<file path=xl/revisions/revisionLog1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48" sId="1">
    <oc r="F4" t="inlineStr">
      <is>
        <t xml:space="preserve">от                  июня 2024 года №   </t>
      </is>
    </oc>
    <nc r="F4" t="inlineStr">
      <is>
        <t xml:space="preserve">от                  сентября 2024 года №   </t>
      </is>
    </nc>
  </rcc>
</revisions>
</file>

<file path=xl/revisions/revisionLog1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49" sId="1" xfDxf="1" dxf="1">
    <oc r="A837" t="inlineStr">
      <is>
        <t>Прочие расходы по муниципальному жилищному фонду</t>
      </is>
    </oc>
    <nc r="A837" t="inlineStr">
      <is>
        <t>Расходы по независимой оценке стоимости имущества, для целей выплаты возмещения гражданам за принадлежащие им жилые помещения при изъятии земельных участков, на которых расположены аварийные дома, признанные аварийными, в которых находятся жилые помещения</t>
      </is>
    </nc>
    <ndxf>
      <font>
        <name val="Times New Roman"/>
        <scheme val="none"/>
      </font>
      <fill>
        <patternFill patternType="solid">
          <bgColor rgb="FFFF000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v guid="{D9B90A86-BE39-4FED-8226-084809D277F3}" action="delete"/>
  <rdn rId="0" localSheetId="1" customView="1" name="Z_D9B90A86_BE39_4FED_8226_084809D277F3_.wvu.PrintArea" hidden="1" oldHidden="1">
    <formula>'программы '!$A$1:$F$987</formula>
    <oldFormula>'программы '!$A$1:$F$987</oldFormula>
  </rdn>
  <rdn rId="0" localSheetId="1" customView="1" name="Z_D9B90A86_BE39_4FED_8226_084809D277F3_.wvu.FilterData" hidden="1" oldHidden="1">
    <formula>'программы '!$C$1:$C$995</formula>
    <oldFormula>'программы '!$C$1:$C$995</oldFormula>
  </rdn>
  <rcv guid="{D9B90A86-BE39-4FED-8226-084809D277F3}" action="add"/>
</revisions>
</file>

<file path=xl/revisions/revisionLog1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I1048576">
    <dxf>
      <fill>
        <patternFill>
          <bgColor theme="0"/>
        </patternFill>
      </fill>
    </dxf>
  </rfmt>
  <rcv guid="{D9B90A86-BE39-4FED-8226-084809D277F3}" action="delete"/>
  <rdn rId="0" localSheetId="1" customView="1" name="Z_D9B90A86_BE39_4FED_8226_084809D277F3_.wvu.PrintArea" hidden="1" oldHidden="1">
    <formula>'программы '!$A$1:$F$987</formula>
    <oldFormula>'программы '!$A$1:$F$987</oldFormula>
  </rdn>
  <rdn rId="0" localSheetId="1" customView="1" name="Z_D9B90A86_BE39_4FED_8226_084809D277F3_.wvu.Rows" hidden="1" oldHidden="1">
    <formula>'программы '!$28:$31,'программы '!$75:$78,'программы '!$123:$126,'программы '!$166:$169,'программы '!$338:$341,'программы '!$362:$364,'программы '!$384:$387,'программы '!$417:$420,'программы '!$475:$479,'программы '!$552:$555,'программы '!$566:$569,'программы '!$575:$577,'программы '!$700:$703,'программы '!$829:$832,'программы '!$845:$850,'программы '!$879:$882,'программы '!$939:$941</formula>
  </rdn>
  <rdn rId="0" localSheetId="1" customView="1" name="Z_D9B90A86_BE39_4FED_8226_084809D277F3_.wvu.FilterData" hidden="1" oldHidden="1">
    <formula>'программы '!$C$1:$C$995</formula>
    <oldFormula>'программы '!$C$1:$C$995</oldFormula>
  </rdn>
  <rcv guid="{D9B90A86-BE39-4FED-8226-084809D277F3}" action="add"/>
</revisions>
</file>

<file path=xl/revisions/revisionLog1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159" sId="1" ref="A75:XFD75" action="deleteRow">
    <undo index="15" exp="ref" v="1" dr="F75" r="F74" sId="1"/>
    <undo index="15" exp="ref" v="1" dr="E75" r="E74" sId="1"/>
    <undo index="15" exp="ref" v="1" dr="D75" r="D74" sId="1"/>
    <undo index="32" exp="area" ref3D="1" dr="$A$939:$XFD$941" dn="Z_D9B90A86_BE39_4FED_8226_084809D277F3_.wvu.Rows" sId="1"/>
    <undo index="30" exp="area" ref3D="1" dr="$A$879:$XFD$882" dn="Z_D9B90A86_BE39_4FED_8226_084809D277F3_.wvu.Rows" sId="1"/>
    <undo index="28" exp="area" ref3D="1" dr="$A$845:$XFD$850" dn="Z_D9B90A86_BE39_4FED_8226_084809D277F3_.wvu.Rows" sId="1"/>
    <undo index="26" exp="area" ref3D="1" dr="$A$829:$XFD$832" dn="Z_D9B90A86_BE39_4FED_8226_084809D277F3_.wvu.Rows" sId="1"/>
    <undo index="24" exp="area" ref3D="1" dr="$A$700:$XFD$703" dn="Z_D9B90A86_BE39_4FED_8226_084809D277F3_.wvu.Rows" sId="1"/>
    <undo index="22" exp="area" ref3D="1" dr="$A$575:$XFD$577" dn="Z_D9B90A86_BE39_4FED_8226_084809D277F3_.wvu.Rows" sId="1"/>
    <undo index="20" exp="area" ref3D="1" dr="$A$566:$XFD$569" dn="Z_D9B90A86_BE39_4FED_8226_084809D277F3_.wvu.Rows" sId="1"/>
    <undo index="18" exp="area" ref3D="1" dr="$A$552:$XFD$555" dn="Z_D9B90A86_BE39_4FED_8226_084809D277F3_.wvu.Rows" sId="1"/>
    <undo index="16" exp="area" ref3D="1" dr="$A$475:$XFD$479" dn="Z_D9B90A86_BE39_4FED_8226_084809D277F3_.wvu.Rows" sId="1"/>
    <undo index="14" exp="area" ref3D="1" dr="$A$417:$XFD$420" dn="Z_D9B90A86_BE39_4FED_8226_084809D277F3_.wvu.Rows" sId="1"/>
    <undo index="12" exp="area" ref3D="1" dr="$A$384:$XFD$387" dn="Z_D9B90A86_BE39_4FED_8226_084809D277F3_.wvu.Rows" sId="1"/>
    <undo index="10" exp="area" ref3D="1" dr="$A$362:$XFD$364" dn="Z_D9B90A86_BE39_4FED_8226_084809D277F3_.wvu.Rows" sId="1"/>
    <undo index="8" exp="area" ref3D="1" dr="$A$338:$XFD$341" dn="Z_D9B90A86_BE39_4FED_8226_084809D277F3_.wvu.Rows" sId="1"/>
    <undo index="6" exp="area" ref3D="1" dr="$A$166:$XFD$169" dn="Z_D9B90A86_BE39_4FED_8226_084809D277F3_.wvu.Rows" sId="1"/>
    <undo index="4" exp="area" ref3D="1" dr="$A$123:$XFD$126" dn="Z_D9B90A86_BE39_4FED_8226_084809D277F3_.wvu.Rows" sId="1"/>
    <undo index="2" exp="area" ref3D="1" dr="$A$75:$XFD$78" dn="Z_D9B90A86_BE39_4FED_8226_084809D277F3_.wvu.Rows" sId="1"/>
    <undo index="0" exp="area" ref3D="1" dr="$A$310:$XFD$318" dn="Z_30E81E54_DD45_4653_9DCD_548F6723F554_.wvu.Rows" sId="1"/>
    <rfmt sheetId="1" xfDxf="1" sqref="A75:XFD75" start="0" length="0">
      <dxf>
        <font>
          <b/>
          <name val="Times New Roman"/>
          <scheme val="none"/>
        </font>
        <alignment vertical="center" readingOrder="0"/>
      </dxf>
    </rfmt>
    <rcc rId="0" sId="1" dxf="1">
      <nc r="A75" t="inlineStr">
        <is>
      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      </is>
      </nc>
      <ndxf>
        <font>
          <b val="0"/>
          <name val="Times New Roman Cyr"/>
          <scheme val="none"/>
        </font>
        <fill>
          <patternFill patternType="solid">
            <bgColor theme="0"/>
          </patternFill>
        </fill>
        <alignment horizontal="justify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B75" t="inlineStr">
        <is>
          <t>03 2 00 53032</t>
        </is>
      </nc>
      <ndxf>
        <font>
          <b val="0"/>
          <name val="Times New Roman Cyr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75" start="0" length="0">
      <dxf>
        <font>
          <b val="0"/>
          <name val="Times New Roman Cyr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D75">
        <f>D77</f>
      </nc>
      <ndxf>
        <font>
          <b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5">
        <f>E77</f>
      </nc>
      <ndxf>
        <font>
          <b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75">
        <f>F77</f>
      </nc>
      <ndxf>
        <font>
          <b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75" start="0" length="0">
      <dxf>
        <fill>
          <patternFill patternType="solid">
            <bgColor theme="0"/>
          </patternFill>
        </fill>
      </dxf>
    </rfmt>
    <rfmt sheetId="1" sqref="H75" start="0" length="0">
      <dxf>
        <fill>
          <patternFill patternType="solid">
            <bgColor theme="0"/>
          </patternFill>
        </fill>
      </dxf>
    </rfmt>
    <rfmt sheetId="1" sqref="I75" start="0" length="0">
      <dxf>
        <fill>
          <patternFill patternType="solid">
            <bgColor theme="0"/>
          </patternFill>
        </fill>
      </dxf>
    </rfmt>
  </rrc>
  <rrc rId="5160" sId="1" ref="A75:XFD75" action="deleteRow">
    <undo index="32" exp="area" ref3D="1" dr="$A$938:$XFD$940" dn="Z_D9B90A86_BE39_4FED_8226_084809D277F3_.wvu.Rows" sId="1"/>
    <undo index="30" exp="area" ref3D="1" dr="$A$878:$XFD$881" dn="Z_D9B90A86_BE39_4FED_8226_084809D277F3_.wvu.Rows" sId="1"/>
    <undo index="28" exp="area" ref3D="1" dr="$A$844:$XFD$849" dn="Z_D9B90A86_BE39_4FED_8226_084809D277F3_.wvu.Rows" sId="1"/>
    <undo index="26" exp="area" ref3D="1" dr="$A$828:$XFD$831" dn="Z_D9B90A86_BE39_4FED_8226_084809D277F3_.wvu.Rows" sId="1"/>
    <undo index="24" exp="area" ref3D="1" dr="$A$699:$XFD$702" dn="Z_D9B90A86_BE39_4FED_8226_084809D277F3_.wvu.Rows" sId="1"/>
    <undo index="22" exp="area" ref3D="1" dr="$A$574:$XFD$576" dn="Z_D9B90A86_BE39_4FED_8226_084809D277F3_.wvu.Rows" sId="1"/>
    <undo index="20" exp="area" ref3D="1" dr="$A$565:$XFD$568" dn="Z_D9B90A86_BE39_4FED_8226_084809D277F3_.wvu.Rows" sId="1"/>
    <undo index="18" exp="area" ref3D="1" dr="$A$551:$XFD$554" dn="Z_D9B90A86_BE39_4FED_8226_084809D277F3_.wvu.Rows" sId="1"/>
    <undo index="16" exp="area" ref3D="1" dr="$A$474:$XFD$478" dn="Z_D9B90A86_BE39_4FED_8226_084809D277F3_.wvu.Rows" sId="1"/>
    <undo index="14" exp="area" ref3D="1" dr="$A$416:$XFD$419" dn="Z_D9B90A86_BE39_4FED_8226_084809D277F3_.wvu.Rows" sId="1"/>
    <undo index="12" exp="area" ref3D="1" dr="$A$383:$XFD$386" dn="Z_D9B90A86_BE39_4FED_8226_084809D277F3_.wvu.Rows" sId="1"/>
    <undo index="10" exp="area" ref3D="1" dr="$A$361:$XFD$363" dn="Z_D9B90A86_BE39_4FED_8226_084809D277F3_.wvu.Rows" sId="1"/>
    <undo index="8" exp="area" ref3D="1" dr="$A$337:$XFD$340" dn="Z_D9B90A86_BE39_4FED_8226_084809D277F3_.wvu.Rows" sId="1"/>
    <undo index="6" exp="area" ref3D="1" dr="$A$165:$XFD$168" dn="Z_D9B90A86_BE39_4FED_8226_084809D277F3_.wvu.Rows" sId="1"/>
    <undo index="4" exp="area" ref3D="1" dr="$A$122:$XFD$125" dn="Z_D9B90A86_BE39_4FED_8226_084809D277F3_.wvu.Rows" sId="1"/>
    <undo index="2" exp="area" ref3D="1" dr="$A$75:$XFD$77" dn="Z_D9B90A86_BE39_4FED_8226_084809D277F3_.wvu.Rows" sId="1"/>
    <undo index="0" exp="area" ref3D="1" dr="$A$309:$XFD$317" dn="Z_30E81E54_DD45_4653_9DCD_548F6723F554_.wvu.Rows" sId="1"/>
    <rfmt sheetId="1" xfDxf="1" sqref="A75:XFD75" start="0" length="0">
      <dxf>
        <font>
          <b/>
          <name val="Times New Roman"/>
          <scheme val="none"/>
        </font>
        <alignment vertical="center" readingOrder="0"/>
      </dxf>
    </rfmt>
    <rcc rId="0" sId="1" dxf="1">
      <nc r="A75" t="inlineStr">
        <is>
          <t>Предоставление субсидий бюджетным, автономным учреждениям и иным некоммерческим организациям</t>
        </is>
      </nc>
      <ndxf>
        <font>
          <b val="0"/>
          <name val="Times New Roman"/>
          <scheme val="none"/>
        </font>
        <fill>
          <patternFill patternType="solid">
            <bgColor theme="0"/>
          </patternFill>
        </fill>
        <alignment horizontal="justify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5" t="inlineStr">
        <is>
          <t>03 2 00 53032</t>
        </is>
      </nc>
      <ndxf>
        <font>
          <b val="0"/>
          <name val="Times New Roman Cyr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5" t="inlineStr">
        <is>
          <t>600</t>
        </is>
      </nc>
      <ndxf>
        <font>
          <b val="0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75">
        <f>D76</f>
      </nc>
      <ndxf>
        <font>
          <b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5">
        <f>E76</f>
      </nc>
      <ndxf>
        <font>
          <b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75">
        <f>F76</f>
      </nc>
      <ndxf>
        <font>
          <b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75" start="0" length="0">
      <dxf>
        <fill>
          <patternFill patternType="solid">
            <bgColor theme="0"/>
          </patternFill>
        </fill>
      </dxf>
    </rfmt>
    <rfmt sheetId="1" sqref="H75" start="0" length="0">
      <dxf>
        <fill>
          <patternFill patternType="solid">
            <bgColor theme="0"/>
          </patternFill>
        </fill>
      </dxf>
    </rfmt>
    <rfmt sheetId="1" sqref="I75" start="0" length="0">
      <dxf>
        <fill>
          <patternFill patternType="solid">
            <bgColor theme="0"/>
          </patternFill>
        </fill>
      </dxf>
    </rfmt>
  </rrc>
  <rrc rId="5161" sId="1" ref="A75:XFD75" action="deleteRow">
    <undo index="32" exp="area" ref3D="1" dr="$A$937:$XFD$939" dn="Z_D9B90A86_BE39_4FED_8226_084809D277F3_.wvu.Rows" sId="1"/>
    <undo index="30" exp="area" ref3D="1" dr="$A$877:$XFD$880" dn="Z_D9B90A86_BE39_4FED_8226_084809D277F3_.wvu.Rows" sId="1"/>
    <undo index="28" exp="area" ref3D="1" dr="$A$843:$XFD$848" dn="Z_D9B90A86_BE39_4FED_8226_084809D277F3_.wvu.Rows" sId="1"/>
    <undo index="26" exp="area" ref3D="1" dr="$A$827:$XFD$830" dn="Z_D9B90A86_BE39_4FED_8226_084809D277F3_.wvu.Rows" sId="1"/>
    <undo index="24" exp="area" ref3D="1" dr="$A$698:$XFD$701" dn="Z_D9B90A86_BE39_4FED_8226_084809D277F3_.wvu.Rows" sId="1"/>
    <undo index="22" exp="area" ref3D="1" dr="$A$573:$XFD$575" dn="Z_D9B90A86_BE39_4FED_8226_084809D277F3_.wvu.Rows" sId="1"/>
    <undo index="20" exp="area" ref3D="1" dr="$A$564:$XFD$567" dn="Z_D9B90A86_BE39_4FED_8226_084809D277F3_.wvu.Rows" sId="1"/>
    <undo index="18" exp="area" ref3D="1" dr="$A$550:$XFD$553" dn="Z_D9B90A86_BE39_4FED_8226_084809D277F3_.wvu.Rows" sId="1"/>
    <undo index="16" exp="area" ref3D="1" dr="$A$473:$XFD$477" dn="Z_D9B90A86_BE39_4FED_8226_084809D277F3_.wvu.Rows" sId="1"/>
    <undo index="14" exp="area" ref3D="1" dr="$A$415:$XFD$418" dn="Z_D9B90A86_BE39_4FED_8226_084809D277F3_.wvu.Rows" sId="1"/>
    <undo index="12" exp="area" ref3D="1" dr="$A$382:$XFD$385" dn="Z_D9B90A86_BE39_4FED_8226_084809D277F3_.wvu.Rows" sId="1"/>
    <undo index="10" exp="area" ref3D="1" dr="$A$360:$XFD$362" dn="Z_D9B90A86_BE39_4FED_8226_084809D277F3_.wvu.Rows" sId="1"/>
    <undo index="8" exp="area" ref3D="1" dr="$A$336:$XFD$339" dn="Z_D9B90A86_BE39_4FED_8226_084809D277F3_.wvu.Rows" sId="1"/>
    <undo index="6" exp="area" ref3D="1" dr="$A$164:$XFD$167" dn="Z_D9B90A86_BE39_4FED_8226_084809D277F3_.wvu.Rows" sId="1"/>
    <undo index="4" exp="area" ref3D="1" dr="$A$121:$XFD$124" dn="Z_D9B90A86_BE39_4FED_8226_084809D277F3_.wvu.Rows" sId="1"/>
    <undo index="2" exp="area" ref3D="1" dr="$A$75:$XFD$76" dn="Z_D9B90A86_BE39_4FED_8226_084809D277F3_.wvu.Rows" sId="1"/>
    <undo index="0" exp="area" ref3D="1" dr="$A$308:$XFD$316" dn="Z_30E81E54_DD45_4653_9DCD_548F6723F554_.wvu.Rows" sId="1"/>
    <rfmt sheetId="1" xfDxf="1" sqref="A75:XFD75" start="0" length="0">
      <dxf>
        <font>
          <b/>
          <name val="Times New Roman"/>
          <scheme val="none"/>
        </font>
        <alignment vertical="center" readingOrder="0"/>
      </dxf>
    </rfmt>
    <rcc rId="0" sId="1" dxf="1">
      <nc r="A75" t="inlineStr">
        <is>
          <t>Субсидии бюджетным учреждениям</t>
        </is>
      </nc>
      <ndxf>
        <font>
          <b val="0"/>
          <name val="Times New Roman Cyr"/>
          <scheme val="none"/>
        </font>
        <fill>
          <patternFill patternType="solid">
            <bgColor theme="0"/>
          </patternFill>
        </fill>
        <alignment horizontal="justify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5" t="inlineStr">
        <is>
          <t>03 2 00 53032</t>
        </is>
      </nc>
      <ndxf>
        <font>
          <b val="0"/>
          <name val="Times New Roman Cyr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5">
        <v>610</v>
      </nc>
      <ndxf>
        <font>
          <b val="0"/>
          <name val="Times New Roman Cyr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75">
        <f>D76</f>
      </nc>
      <ndxf>
        <font>
          <b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5">
        <f>E76</f>
      </nc>
      <ndxf>
        <font>
          <b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75">
        <f>F76</f>
      </nc>
      <ndxf>
        <font>
          <b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75" start="0" length="0">
      <dxf>
        <fill>
          <patternFill patternType="solid">
            <bgColor theme="0"/>
          </patternFill>
        </fill>
      </dxf>
    </rfmt>
    <rfmt sheetId="1" sqref="H75" start="0" length="0">
      <dxf>
        <fill>
          <patternFill patternType="solid">
            <bgColor theme="0"/>
          </patternFill>
        </fill>
      </dxf>
    </rfmt>
    <rfmt sheetId="1" sqref="I75" start="0" length="0">
      <dxf>
        <fill>
          <patternFill patternType="solid">
            <bgColor theme="0"/>
          </patternFill>
        </fill>
      </dxf>
    </rfmt>
  </rrc>
  <rrc rId="5162" sId="1" ref="A75:XFD75" action="deleteRow">
    <undo index="32" exp="area" ref3D="1" dr="$A$936:$XFD$938" dn="Z_D9B90A86_BE39_4FED_8226_084809D277F3_.wvu.Rows" sId="1"/>
    <undo index="30" exp="area" ref3D="1" dr="$A$876:$XFD$879" dn="Z_D9B90A86_BE39_4FED_8226_084809D277F3_.wvu.Rows" sId="1"/>
    <undo index="28" exp="area" ref3D="1" dr="$A$842:$XFD$847" dn="Z_D9B90A86_BE39_4FED_8226_084809D277F3_.wvu.Rows" sId="1"/>
    <undo index="26" exp="area" ref3D="1" dr="$A$826:$XFD$829" dn="Z_D9B90A86_BE39_4FED_8226_084809D277F3_.wvu.Rows" sId="1"/>
    <undo index="24" exp="area" ref3D="1" dr="$A$697:$XFD$700" dn="Z_D9B90A86_BE39_4FED_8226_084809D277F3_.wvu.Rows" sId="1"/>
    <undo index="22" exp="area" ref3D="1" dr="$A$572:$XFD$574" dn="Z_D9B90A86_BE39_4FED_8226_084809D277F3_.wvu.Rows" sId="1"/>
    <undo index="20" exp="area" ref3D="1" dr="$A$563:$XFD$566" dn="Z_D9B90A86_BE39_4FED_8226_084809D277F3_.wvu.Rows" sId="1"/>
    <undo index="18" exp="area" ref3D="1" dr="$A$549:$XFD$552" dn="Z_D9B90A86_BE39_4FED_8226_084809D277F3_.wvu.Rows" sId="1"/>
    <undo index="16" exp="area" ref3D="1" dr="$A$472:$XFD$476" dn="Z_D9B90A86_BE39_4FED_8226_084809D277F3_.wvu.Rows" sId="1"/>
    <undo index="14" exp="area" ref3D="1" dr="$A$414:$XFD$417" dn="Z_D9B90A86_BE39_4FED_8226_084809D277F3_.wvu.Rows" sId="1"/>
    <undo index="12" exp="area" ref3D="1" dr="$A$381:$XFD$384" dn="Z_D9B90A86_BE39_4FED_8226_084809D277F3_.wvu.Rows" sId="1"/>
    <undo index="10" exp="area" ref3D="1" dr="$A$359:$XFD$361" dn="Z_D9B90A86_BE39_4FED_8226_084809D277F3_.wvu.Rows" sId="1"/>
    <undo index="8" exp="area" ref3D="1" dr="$A$335:$XFD$338" dn="Z_D9B90A86_BE39_4FED_8226_084809D277F3_.wvu.Rows" sId="1"/>
    <undo index="6" exp="area" ref3D="1" dr="$A$163:$XFD$166" dn="Z_D9B90A86_BE39_4FED_8226_084809D277F3_.wvu.Rows" sId="1"/>
    <undo index="4" exp="area" ref3D="1" dr="$A$120:$XFD$123" dn="Z_D9B90A86_BE39_4FED_8226_084809D277F3_.wvu.Rows" sId="1"/>
    <undo index="2" exp="area" ref3D="1" dr="$A$75:$XFD$75" dn="Z_D9B90A86_BE39_4FED_8226_084809D277F3_.wvu.Rows" sId="1"/>
    <undo index="0" exp="area" ref3D="1" dr="$A$307:$XFD$315" dn="Z_30E81E54_DD45_4653_9DCD_548F6723F554_.wvu.Rows" sId="1"/>
    <rfmt sheetId="1" xfDxf="1" sqref="A75:XFD75" start="0" length="0">
      <dxf>
        <font>
          <b/>
          <name val="Times New Roman"/>
          <scheme val="none"/>
        </font>
        <alignment vertical="center" readingOrder="0"/>
      </dxf>
    </rfmt>
    <rcc rId="0" sId="1" dxf="1">
      <nc r="A75" t="inlineStr">
        <is>
          <t>Субсидии бюджетным учреждениям на  иные цели</t>
        </is>
      </nc>
      <ndxf>
        <font>
          <b val="0"/>
          <name val="Times New Roman Cyr"/>
          <scheme val="none"/>
        </font>
        <fill>
          <patternFill patternType="solid">
            <bgColor theme="0"/>
          </patternFill>
        </fill>
        <alignment horizontal="justify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5" t="inlineStr">
        <is>
          <t>03 2 00 53032</t>
        </is>
      </nc>
      <ndxf>
        <font>
          <b val="0"/>
          <name val="Times New Roman Cyr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75">
        <v>612</v>
      </nc>
      <ndxf>
        <font>
          <b val="0"/>
          <name val="Times New Roman Cyr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D75">
        <v>0</v>
      </nc>
      <ndxf>
        <font>
          <b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5">
        <v>0</v>
      </nc>
      <ndxf>
        <font>
          <b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F75">
        <v>0</v>
      </nc>
      <ndxf>
        <font>
          <b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75" start="0" length="0">
      <dxf>
        <fill>
          <patternFill patternType="solid">
            <bgColor theme="0"/>
          </patternFill>
        </fill>
      </dxf>
    </rfmt>
    <rfmt sheetId="1" sqref="H75" start="0" length="0">
      <dxf>
        <fill>
          <patternFill patternType="solid">
            <bgColor theme="0"/>
          </patternFill>
        </fill>
      </dxf>
    </rfmt>
    <rfmt sheetId="1" sqref="I75" start="0" length="0">
      <dxf>
        <fill>
          <patternFill patternType="solid">
            <bgColor theme="0"/>
          </patternFill>
        </fill>
      </dxf>
    </rfmt>
  </rrc>
  <rrc rId="5163" sId="1" ref="A119:XFD119" action="deleteRow">
    <undo index="7" exp="ref" v="1" dr="F119" r="F74" sId="1"/>
    <undo index="7" exp="ref" v="1" dr="E119" r="E74" sId="1"/>
    <undo index="7" exp="ref" v="1" dr="D119" r="D74" sId="1"/>
    <undo index="32" exp="area" ref3D="1" dr="$A$935:$XFD$937" dn="Z_D9B90A86_BE39_4FED_8226_084809D277F3_.wvu.Rows" sId="1"/>
    <undo index="30" exp="area" ref3D="1" dr="$A$875:$XFD$878" dn="Z_D9B90A86_BE39_4FED_8226_084809D277F3_.wvu.Rows" sId="1"/>
    <undo index="28" exp="area" ref3D="1" dr="$A$841:$XFD$846" dn="Z_D9B90A86_BE39_4FED_8226_084809D277F3_.wvu.Rows" sId="1"/>
    <undo index="26" exp="area" ref3D="1" dr="$A$825:$XFD$828" dn="Z_D9B90A86_BE39_4FED_8226_084809D277F3_.wvu.Rows" sId="1"/>
    <undo index="24" exp="area" ref3D="1" dr="$A$696:$XFD$699" dn="Z_D9B90A86_BE39_4FED_8226_084809D277F3_.wvu.Rows" sId="1"/>
    <undo index="22" exp="area" ref3D="1" dr="$A$571:$XFD$573" dn="Z_D9B90A86_BE39_4FED_8226_084809D277F3_.wvu.Rows" sId="1"/>
    <undo index="20" exp="area" ref3D="1" dr="$A$562:$XFD$565" dn="Z_D9B90A86_BE39_4FED_8226_084809D277F3_.wvu.Rows" sId="1"/>
    <undo index="18" exp="area" ref3D="1" dr="$A$548:$XFD$551" dn="Z_D9B90A86_BE39_4FED_8226_084809D277F3_.wvu.Rows" sId="1"/>
    <undo index="16" exp="area" ref3D="1" dr="$A$471:$XFD$475" dn="Z_D9B90A86_BE39_4FED_8226_084809D277F3_.wvu.Rows" sId="1"/>
    <undo index="14" exp="area" ref3D="1" dr="$A$413:$XFD$416" dn="Z_D9B90A86_BE39_4FED_8226_084809D277F3_.wvu.Rows" sId="1"/>
    <undo index="12" exp="area" ref3D="1" dr="$A$380:$XFD$383" dn="Z_D9B90A86_BE39_4FED_8226_084809D277F3_.wvu.Rows" sId="1"/>
    <undo index="10" exp="area" ref3D="1" dr="$A$358:$XFD$360" dn="Z_D9B90A86_BE39_4FED_8226_084809D277F3_.wvu.Rows" sId="1"/>
    <undo index="8" exp="area" ref3D="1" dr="$A$334:$XFD$337" dn="Z_D9B90A86_BE39_4FED_8226_084809D277F3_.wvu.Rows" sId="1"/>
    <undo index="6" exp="area" ref3D="1" dr="$A$162:$XFD$165" dn="Z_D9B90A86_BE39_4FED_8226_084809D277F3_.wvu.Rows" sId="1"/>
    <undo index="4" exp="area" ref3D="1" dr="$A$119:$XFD$122" dn="Z_D9B90A86_BE39_4FED_8226_084809D277F3_.wvu.Rows" sId="1"/>
    <undo index="0" exp="area" ref3D="1" dr="$A$306:$XFD$314" dn="Z_30E81E54_DD45_4653_9DCD_548F6723F554_.wvu.Rows" sId="1"/>
    <rfmt sheetId="1" xfDxf="1" sqref="A119:XFD119" start="0" length="0">
      <dxf>
        <font>
          <name val="Times New Roman"/>
          <scheme val="none"/>
        </font>
        <alignment vertical="center" readingOrder="0"/>
      </dxf>
    </rfmt>
    <rcc rId="0" sId="1" dxf="1">
      <nc r="A119" t="inlineStr">
        <is>
          <t>Софинансирование капитальных вложений в объекты муниципальной собственности муниципальных образований Архангельской области</t>
        </is>
      </nc>
      <ndxf>
        <font>
          <name val="Times New Roman Cyr"/>
          <scheme val="none"/>
        </font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19" t="inlineStr">
        <is>
          <t>03 2 00 S0310</t>
        </is>
      </nc>
      <ndxf>
        <font>
          <name val="Times New Roman Cyr"/>
          <scheme val="none"/>
        </font>
        <fill>
          <patternFill patternType="solid">
            <bgColor theme="0"/>
          </patternFill>
        </fill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ndxf>
    </rcc>
    <rfmt sheetId="1" sqref="C119" start="0" length="0">
      <dxf>
        <font>
          <name val="Times New Roman Cyr"/>
          <scheme val="none"/>
        </font>
        <fill>
          <patternFill patternType="solid">
            <bgColor theme="0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s="1" dxf="1">
      <nc r="D119">
        <f>D120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19">
        <f>E120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19">
        <f>F120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19" start="0" length="0">
      <dxf>
        <fill>
          <patternFill patternType="solid">
            <bgColor theme="0"/>
          </patternFill>
        </fill>
      </dxf>
    </rfmt>
    <rfmt sheetId="1" sqref="H119" start="0" length="0">
      <dxf>
        <fill>
          <patternFill patternType="solid">
            <bgColor theme="0"/>
          </patternFill>
        </fill>
      </dxf>
    </rfmt>
    <rfmt sheetId="1" sqref="I119" start="0" length="0">
      <dxf>
        <fill>
          <patternFill patternType="solid">
            <bgColor theme="0"/>
          </patternFill>
        </fill>
      </dxf>
    </rfmt>
  </rrc>
  <rrc rId="5164" sId="1" ref="A119:XFD119" action="deleteRow">
    <undo index="32" exp="area" ref3D="1" dr="$A$934:$XFD$936" dn="Z_D9B90A86_BE39_4FED_8226_084809D277F3_.wvu.Rows" sId="1"/>
    <undo index="30" exp="area" ref3D="1" dr="$A$874:$XFD$877" dn="Z_D9B90A86_BE39_4FED_8226_084809D277F3_.wvu.Rows" sId="1"/>
    <undo index="28" exp="area" ref3D="1" dr="$A$840:$XFD$845" dn="Z_D9B90A86_BE39_4FED_8226_084809D277F3_.wvu.Rows" sId="1"/>
    <undo index="26" exp="area" ref3D="1" dr="$A$824:$XFD$827" dn="Z_D9B90A86_BE39_4FED_8226_084809D277F3_.wvu.Rows" sId="1"/>
    <undo index="24" exp="area" ref3D="1" dr="$A$695:$XFD$698" dn="Z_D9B90A86_BE39_4FED_8226_084809D277F3_.wvu.Rows" sId="1"/>
    <undo index="22" exp="area" ref3D="1" dr="$A$570:$XFD$572" dn="Z_D9B90A86_BE39_4FED_8226_084809D277F3_.wvu.Rows" sId="1"/>
    <undo index="20" exp="area" ref3D="1" dr="$A$561:$XFD$564" dn="Z_D9B90A86_BE39_4FED_8226_084809D277F3_.wvu.Rows" sId="1"/>
    <undo index="18" exp="area" ref3D="1" dr="$A$547:$XFD$550" dn="Z_D9B90A86_BE39_4FED_8226_084809D277F3_.wvu.Rows" sId="1"/>
    <undo index="16" exp="area" ref3D="1" dr="$A$470:$XFD$474" dn="Z_D9B90A86_BE39_4FED_8226_084809D277F3_.wvu.Rows" sId="1"/>
    <undo index="14" exp="area" ref3D="1" dr="$A$412:$XFD$415" dn="Z_D9B90A86_BE39_4FED_8226_084809D277F3_.wvu.Rows" sId="1"/>
    <undo index="12" exp="area" ref3D="1" dr="$A$379:$XFD$382" dn="Z_D9B90A86_BE39_4FED_8226_084809D277F3_.wvu.Rows" sId="1"/>
    <undo index="10" exp="area" ref3D="1" dr="$A$357:$XFD$359" dn="Z_D9B90A86_BE39_4FED_8226_084809D277F3_.wvu.Rows" sId="1"/>
    <undo index="8" exp="area" ref3D="1" dr="$A$333:$XFD$336" dn="Z_D9B90A86_BE39_4FED_8226_084809D277F3_.wvu.Rows" sId="1"/>
    <undo index="6" exp="area" ref3D="1" dr="$A$161:$XFD$164" dn="Z_D9B90A86_BE39_4FED_8226_084809D277F3_.wvu.Rows" sId="1"/>
    <undo index="4" exp="area" ref3D="1" dr="$A$119:$XFD$121" dn="Z_D9B90A86_BE39_4FED_8226_084809D277F3_.wvu.Rows" sId="1"/>
    <undo index="0" exp="area" ref3D="1" dr="$A$305:$XFD$313" dn="Z_30E81E54_DD45_4653_9DCD_548F6723F554_.wvu.Rows" sId="1"/>
    <rfmt sheetId="1" xfDxf="1" sqref="A119:XFD119" start="0" length="0">
      <dxf>
        <font>
          <name val="Times New Roman"/>
          <scheme val="none"/>
        </font>
        <alignment vertical="center" readingOrder="0"/>
      </dxf>
    </rfmt>
    <rcc rId="0" sId="1" dxf="1">
      <nc r="A119" t="inlineStr">
        <is>
          <t>Капитальные вложения в объекты государственной (муниципальной) собственности</t>
        </is>
      </nc>
      <ndxf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19" t="inlineStr">
        <is>
          <t>03 2 00 S0310</t>
        </is>
      </nc>
      <ndxf>
        <font>
          <name val="Times New Roman Cyr"/>
          <scheme val="none"/>
        </font>
        <fill>
          <patternFill patternType="solid">
            <bgColor theme="0"/>
          </patternFill>
        </fill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C119">
        <v>400</v>
      </nc>
      <ndxf>
        <font>
          <name val="Times New Roman Cyr"/>
          <scheme val="none"/>
        </font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D119">
        <f>D120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19">
        <f>E120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19">
        <f>F120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19" start="0" length="0">
      <dxf>
        <fill>
          <patternFill patternType="solid">
            <bgColor theme="0"/>
          </patternFill>
        </fill>
      </dxf>
    </rfmt>
    <rfmt sheetId="1" sqref="H119" start="0" length="0">
      <dxf>
        <fill>
          <patternFill patternType="solid">
            <bgColor theme="0"/>
          </patternFill>
        </fill>
      </dxf>
    </rfmt>
    <rfmt sheetId="1" sqref="I119" start="0" length="0">
      <dxf>
        <fill>
          <patternFill patternType="solid">
            <bgColor theme="0"/>
          </patternFill>
        </fill>
      </dxf>
    </rfmt>
  </rrc>
  <rrc rId="5165" sId="1" ref="A119:XFD119" action="deleteRow">
    <undo index="32" exp="area" ref3D="1" dr="$A$933:$XFD$935" dn="Z_D9B90A86_BE39_4FED_8226_084809D277F3_.wvu.Rows" sId="1"/>
    <undo index="30" exp="area" ref3D="1" dr="$A$873:$XFD$876" dn="Z_D9B90A86_BE39_4FED_8226_084809D277F3_.wvu.Rows" sId="1"/>
    <undo index="28" exp="area" ref3D="1" dr="$A$839:$XFD$844" dn="Z_D9B90A86_BE39_4FED_8226_084809D277F3_.wvu.Rows" sId="1"/>
    <undo index="26" exp="area" ref3D="1" dr="$A$823:$XFD$826" dn="Z_D9B90A86_BE39_4FED_8226_084809D277F3_.wvu.Rows" sId="1"/>
    <undo index="24" exp="area" ref3D="1" dr="$A$694:$XFD$697" dn="Z_D9B90A86_BE39_4FED_8226_084809D277F3_.wvu.Rows" sId="1"/>
    <undo index="22" exp="area" ref3D="1" dr="$A$569:$XFD$571" dn="Z_D9B90A86_BE39_4FED_8226_084809D277F3_.wvu.Rows" sId="1"/>
    <undo index="20" exp="area" ref3D="1" dr="$A$560:$XFD$563" dn="Z_D9B90A86_BE39_4FED_8226_084809D277F3_.wvu.Rows" sId="1"/>
    <undo index="18" exp="area" ref3D="1" dr="$A$546:$XFD$549" dn="Z_D9B90A86_BE39_4FED_8226_084809D277F3_.wvu.Rows" sId="1"/>
    <undo index="16" exp="area" ref3D="1" dr="$A$469:$XFD$473" dn="Z_D9B90A86_BE39_4FED_8226_084809D277F3_.wvu.Rows" sId="1"/>
    <undo index="14" exp="area" ref3D="1" dr="$A$411:$XFD$414" dn="Z_D9B90A86_BE39_4FED_8226_084809D277F3_.wvu.Rows" sId="1"/>
    <undo index="12" exp="area" ref3D="1" dr="$A$378:$XFD$381" dn="Z_D9B90A86_BE39_4FED_8226_084809D277F3_.wvu.Rows" sId="1"/>
    <undo index="10" exp="area" ref3D="1" dr="$A$356:$XFD$358" dn="Z_D9B90A86_BE39_4FED_8226_084809D277F3_.wvu.Rows" sId="1"/>
    <undo index="8" exp="area" ref3D="1" dr="$A$332:$XFD$335" dn="Z_D9B90A86_BE39_4FED_8226_084809D277F3_.wvu.Rows" sId="1"/>
    <undo index="6" exp="area" ref3D="1" dr="$A$160:$XFD$163" dn="Z_D9B90A86_BE39_4FED_8226_084809D277F3_.wvu.Rows" sId="1"/>
    <undo index="4" exp="area" ref3D="1" dr="$A$119:$XFD$120" dn="Z_D9B90A86_BE39_4FED_8226_084809D277F3_.wvu.Rows" sId="1"/>
    <undo index="0" exp="area" ref3D="1" dr="$A$304:$XFD$312" dn="Z_30E81E54_DD45_4653_9DCD_548F6723F554_.wvu.Rows" sId="1"/>
    <rfmt sheetId="1" xfDxf="1" sqref="A119:XFD119" start="0" length="0">
      <dxf>
        <font>
          <name val="Times New Roman"/>
          <scheme val="none"/>
        </font>
        <alignment vertical="center" readingOrder="0"/>
      </dxf>
    </rfmt>
    <rcc rId="0" sId="1" dxf="1">
      <nc r="A119" t="inlineStr">
        <is>
          <t>Бюджетные инвестиции</t>
        </is>
      </nc>
      <ndxf>
        <font>
          <name val="Times New Roman Cyr"/>
          <scheme val="none"/>
        </font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19" t="inlineStr">
        <is>
          <t>03 2 00 S0310</t>
        </is>
      </nc>
      <ndxf>
        <font>
          <name val="Times New Roman Cyr"/>
          <scheme val="none"/>
        </font>
        <fill>
          <patternFill patternType="solid">
            <bgColor theme="0"/>
          </patternFill>
        </fill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C119">
        <v>410</v>
      </nc>
      <ndxf>
        <font>
          <name val="Times New Roman Cyr"/>
          <scheme val="none"/>
        </font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D119">
        <f>D120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19">
        <f>E120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19">
        <f>F120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19" start="0" length="0">
      <dxf>
        <fill>
          <patternFill patternType="solid">
            <bgColor theme="0"/>
          </patternFill>
        </fill>
      </dxf>
    </rfmt>
    <rfmt sheetId="1" sqref="H119" start="0" length="0">
      <dxf>
        <fill>
          <patternFill patternType="solid">
            <bgColor theme="0"/>
          </patternFill>
        </fill>
      </dxf>
    </rfmt>
    <rfmt sheetId="1" sqref="I119" start="0" length="0">
      <dxf>
        <fill>
          <patternFill patternType="solid">
            <bgColor theme="0"/>
          </patternFill>
        </fill>
      </dxf>
    </rfmt>
  </rrc>
  <rrc rId="5166" sId="1" ref="A119:XFD119" action="deleteRow">
    <undo index="32" exp="area" ref3D="1" dr="$A$932:$XFD$934" dn="Z_D9B90A86_BE39_4FED_8226_084809D277F3_.wvu.Rows" sId="1"/>
    <undo index="30" exp="area" ref3D="1" dr="$A$872:$XFD$875" dn="Z_D9B90A86_BE39_4FED_8226_084809D277F3_.wvu.Rows" sId="1"/>
    <undo index="28" exp="area" ref3D="1" dr="$A$838:$XFD$843" dn="Z_D9B90A86_BE39_4FED_8226_084809D277F3_.wvu.Rows" sId="1"/>
    <undo index="26" exp="area" ref3D="1" dr="$A$822:$XFD$825" dn="Z_D9B90A86_BE39_4FED_8226_084809D277F3_.wvu.Rows" sId="1"/>
    <undo index="24" exp="area" ref3D="1" dr="$A$693:$XFD$696" dn="Z_D9B90A86_BE39_4FED_8226_084809D277F3_.wvu.Rows" sId="1"/>
    <undo index="22" exp="area" ref3D="1" dr="$A$568:$XFD$570" dn="Z_D9B90A86_BE39_4FED_8226_084809D277F3_.wvu.Rows" sId="1"/>
    <undo index="20" exp="area" ref3D="1" dr="$A$559:$XFD$562" dn="Z_D9B90A86_BE39_4FED_8226_084809D277F3_.wvu.Rows" sId="1"/>
    <undo index="18" exp="area" ref3D="1" dr="$A$545:$XFD$548" dn="Z_D9B90A86_BE39_4FED_8226_084809D277F3_.wvu.Rows" sId="1"/>
    <undo index="16" exp="area" ref3D="1" dr="$A$468:$XFD$472" dn="Z_D9B90A86_BE39_4FED_8226_084809D277F3_.wvu.Rows" sId="1"/>
    <undo index="14" exp="area" ref3D="1" dr="$A$410:$XFD$413" dn="Z_D9B90A86_BE39_4FED_8226_084809D277F3_.wvu.Rows" sId="1"/>
    <undo index="12" exp="area" ref3D="1" dr="$A$377:$XFD$380" dn="Z_D9B90A86_BE39_4FED_8226_084809D277F3_.wvu.Rows" sId="1"/>
    <undo index="10" exp="area" ref3D="1" dr="$A$355:$XFD$357" dn="Z_D9B90A86_BE39_4FED_8226_084809D277F3_.wvu.Rows" sId="1"/>
    <undo index="8" exp="area" ref3D="1" dr="$A$331:$XFD$334" dn="Z_D9B90A86_BE39_4FED_8226_084809D277F3_.wvu.Rows" sId="1"/>
    <undo index="6" exp="area" ref3D="1" dr="$A$159:$XFD$162" dn="Z_D9B90A86_BE39_4FED_8226_084809D277F3_.wvu.Rows" sId="1"/>
    <undo index="4" exp="area" ref3D="1" dr="$A$119:$XFD$119" dn="Z_D9B90A86_BE39_4FED_8226_084809D277F3_.wvu.Rows" sId="1"/>
    <undo index="0" exp="area" ref3D="1" dr="$A$303:$XFD$311" dn="Z_30E81E54_DD45_4653_9DCD_548F6723F554_.wvu.Rows" sId="1"/>
    <rfmt sheetId="1" xfDxf="1" sqref="A119:XFD119" start="0" length="0">
      <dxf>
        <font>
          <name val="Times New Roman"/>
          <scheme val="none"/>
        </font>
        <alignment vertical="center" readingOrder="0"/>
      </dxf>
    </rfmt>
    <rcc rId="0" sId="1" dxf="1">
      <nc r="A119" t="inlineStr">
        <is>
          <t>Бюджетные инвестиции в объекты капитального строительства государственной (муниципальной) собственности</t>
        </is>
      </nc>
      <ndxf>
        <font>
          <name val="Times New Roman Cyr"/>
          <scheme val="none"/>
        </font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19" t="inlineStr">
        <is>
          <t>03 2 00 S0310</t>
        </is>
      </nc>
      <ndxf>
        <font>
          <name val="Times New Roman Cyr"/>
          <scheme val="none"/>
        </font>
        <fill>
          <patternFill patternType="solid">
            <bgColor theme="0"/>
          </patternFill>
        </fill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C119">
        <v>414</v>
      </nc>
      <ndxf>
        <font>
          <name val="Times New Roman Cyr"/>
          <scheme val="none"/>
        </font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 numFmtId="34">
      <nc r="D119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19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F119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19" start="0" length="0">
      <dxf>
        <fill>
          <patternFill patternType="solid">
            <bgColor theme="0"/>
          </patternFill>
        </fill>
      </dxf>
    </rfmt>
    <rfmt sheetId="1" sqref="H119" start="0" length="0">
      <dxf>
        <fill>
          <patternFill patternType="solid">
            <bgColor theme="0"/>
          </patternFill>
        </fill>
      </dxf>
    </rfmt>
    <rfmt sheetId="1" sqref="I119" start="0" length="0">
      <dxf>
        <fill>
          <patternFill patternType="solid">
            <bgColor theme="0"/>
          </patternFill>
        </fill>
      </dxf>
    </rfmt>
  </rrc>
  <rrc rId="5167" sId="1" ref="A158:XFD158" action="deleteRow">
    <undo index="11" exp="ref" v="1" dr="F158" r="F74" sId="1"/>
    <undo index="11" exp="ref" v="1" dr="E158" r="E74" sId="1"/>
    <undo index="11" exp="ref" v="1" dr="D158" r="D74" sId="1"/>
    <undo index="32" exp="area" ref3D="1" dr="$A$931:$XFD$933" dn="Z_D9B90A86_BE39_4FED_8226_084809D277F3_.wvu.Rows" sId="1"/>
    <undo index="30" exp="area" ref3D="1" dr="$A$871:$XFD$874" dn="Z_D9B90A86_BE39_4FED_8226_084809D277F3_.wvu.Rows" sId="1"/>
    <undo index="28" exp="area" ref3D="1" dr="$A$837:$XFD$842" dn="Z_D9B90A86_BE39_4FED_8226_084809D277F3_.wvu.Rows" sId="1"/>
    <undo index="26" exp="area" ref3D="1" dr="$A$821:$XFD$824" dn="Z_D9B90A86_BE39_4FED_8226_084809D277F3_.wvu.Rows" sId="1"/>
    <undo index="24" exp="area" ref3D="1" dr="$A$692:$XFD$695" dn="Z_D9B90A86_BE39_4FED_8226_084809D277F3_.wvu.Rows" sId="1"/>
    <undo index="22" exp="area" ref3D="1" dr="$A$567:$XFD$569" dn="Z_D9B90A86_BE39_4FED_8226_084809D277F3_.wvu.Rows" sId="1"/>
    <undo index="20" exp="area" ref3D="1" dr="$A$558:$XFD$561" dn="Z_D9B90A86_BE39_4FED_8226_084809D277F3_.wvu.Rows" sId="1"/>
    <undo index="18" exp="area" ref3D="1" dr="$A$544:$XFD$547" dn="Z_D9B90A86_BE39_4FED_8226_084809D277F3_.wvu.Rows" sId="1"/>
    <undo index="16" exp="area" ref3D="1" dr="$A$467:$XFD$471" dn="Z_D9B90A86_BE39_4FED_8226_084809D277F3_.wvu.Rows" sId="1"/>
    <undo index="14" exp="area" ref3D="1" dr="$A$409:$XFD$412" dn="Z_D9B90A86_BE39_4FED_8226_084809D277F3_.wvu.Rows" sId="1"/>
    <undo index="12" exp="area" ref3D="1" dr="$A$376:$XFD$379" dn="Z_D9B90A86_BE39_4FED_8226_084809D277F3_.wvu.Rows" sId="1"/>
    <undo index="10" exp="area" ref3D="1" dr="$A$354:$XFD$356" dn="Z_D9B90A86_BE39_4FED_8226_084809D277F3_.wvu.Rows" sId="1"/>
    <undo index="8" exp="area" ref3D="1" dr="$A$330:$XFD$333" dn="Z_D9B90A86_BE39_4FED_8226_084809D277F3_.wvu.Rows" sId="1"/>
    <undo index="6" exp="area" ref3D="1" dr="$A$158:$XFD$161" dn="Z_D9B90A86_BE39_4FED_8226_084809D277F3_.wvu.Rows" sId="1"/>
    <undo index="0" exp="area" ref3D="1" dr="$A$302:$XFD$310" dn="Z_30E81E54_DD45_4653_9DCD_548F6723F554_.wvu.Rows" sId="1"/>
    <rfmt sheetId="1" xfDxf="1" sqref="A158:XFD158" start="0" length="0">
      <dxf>
        <font>
          <name val="Times New Roman"/>
          <scheme val="none"/>
        </font>
        <alignment vertical="center" readingOrder="0"/>
      </dxf>
    </rfmt>
    <rcc rId="0" sId="1" dxf="1">
      <nc r="A158" t="inlineStr">
        <is>
          <t>Организация бесплатного горячего питания обучающихся, получающих начальное общее образование в муниципальных образовательных организациях Архангельской области, которым не предусмотрено федеральное софинансирование</t>
        </is>
      </nc>
      <ndxf>
        <fill>
          <patternFill patternType="solid">
            <bgColor theme="0"/>
          </patternFill>
        </fill>
        <alignment horizontal="justify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158" t="inlineStr">
        <is>
          <t>03 2 00 S6600</t>
        </is>
      </nc>
      <n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C158" start="0" length="0">
      <dxf>
        <numFmt numFmtId="166" formatCode="_(* #,##0_);_(* \(#,##0\);_(* &quot;-&quot;??_);_(@_)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D158">
        <f>D160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58">
        <f>E160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58">
        <f>F160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58" start="0" length="0">
      <dxf>
        <fill>
          <patternFill patternType="solid">
            <bgColor theme="0"/>
          </patternFill>
        </fill>
      </dxf>
    </rfmt>
    <rfmt sheetId="1" sqref="H158" start="0" length="0">
      <dxf>
        <fill>
          <patternFill patternType="solid">
            <bgColor theme="0"/>
          </patternFill>
        </fill>
      </dxf>
    </rfmt>
    <rfmt sheetId="1" sqref="I158" start="0" length="0">
      <dxf>
        <fill>
          <patternFill patternType="solid">
            <bgColor theme="0"/>
          </patternFill>
        </fill>
      </dxf>
    </rfmt>
  </rrc>
  <rrc rId="5168" sId="1" ref="A158:XFD158" action="deleteRow">
    <undo index="32" exp="area" ref3D="1" dr="$A$930:$XFD$932" dn="Z_D9B90A86_BE39_4FED_8226_084809D277F3_.wvu.Rows" sId="1"/>
    <undo index="30" exp="area" ref3D="1" dr="$A$870:$XFD$873" dn="Z_D9B90A86_BE39_4FED_8226_084809D277F3_.wvu.Rows" sId="1"/>
    <undo index="28" exp="area" ref3D="1" dr="$A$836:$XFD$841" dn="Z_D9B90A86_BE39_4FED_8226_084809D277F3_.wvu.Rows" sId="1"/>
    <undo index="26" exp="area" ref3D="1" dr="$A$820:$XFD$823" dn="Z_D9B90A86_BE39_4FED_8226_084809D277F3_.wvu.Rows" sId="1"/>
    <undo index="24" exp="area" ref3D="1" dr="$A$691:$XFD$694" dn="Z_D9B90A86_BE39_4FED_8226_084809D277F3_.wvu.Rows" sId="1"/>
    <undo index="22" exp="area" ref3D="1" dr="$A$566:$XFD$568" dn="Z_D9B90A86_BE39_4FED_8226_084809D277F3_.wvu.Rows" sId="1"/>
    <undo index="20" exp="area" ref3D="1" dr="$A$557:$XFD$560" dn="Z_D9B90A86_BE39_4FED_8226_084809D277F3_.wvu.Rows" sId="1"/>
    <undo index="18" exp="area" ref3D="1" dr="$A$543:$XFD$546" dn="Z_D9B90A86_BE39_4FED_8226_084809D277F3_.wvu.Rows" sId="1"/>
    <undo index="16" exp="area" ref3D="1" dr="$A$466:$XFD$470" dn="Z_D9B90A86_BE39_4FED_8226_084809D277F3_.wvu.Rows" sId="1"/>
    <undo index="14" exp="area" ref3D="1" dr="$A$408:$XFD$411" dn="Z_D9B90A86_BE39_4FED_8226_084809D277F3_.wvu.Rows" sId="1"/>
    <undo index="12" exp="area" ref3D="1" dr="$A$375:$XFD$378" dn="Z_D9B90A86_BE39_4FED_8226_084809D277F3_.wvu.Rows" sId="1"/>
    <undo index="10" exp="area" ref3D="1" dr="$A$353:$XFD$355" dn="Z_D9B90A86_BE39_4FED_8226_084809D277F3_.wvu.Rows" sId="1"/>
    <undo index="8" exp="area" ref3D="1" dr="$A$329:$XFD$332" dn="Z_D9B90A86_BE39_4FED_8226_084809D277F3_.wvu.Rows" sId="1"/>
    <undo index="6" exp="area" ref3D="1" dr="$A$158:$XFD$160" dn="Z_D9B90A86_BE39_4FED_8226_084809D277F3_.wvu.Rows" sId="1"/>
    <undo index="0" exp="area" ref3D="1" dr="$A$301:$XFD$309" dn="Z_30E81E54_DD45_4653_9DCD_548F6723F554_.wvu.Rows" sId="1"/>
    <rfmt sheetId="1" xfDxf="1" sqref="A158:XFD158" start="0" length="0">
      <dxf>
        <font>
          <name val="Times New Roman"/>
          <scheme val="none"/>
        </font>
        <alignment vertical="center" readingOrder="0"/>
      </dxf>
    </rfmt>
    <rcc rId="0" sId="1" dxf="1">
      <nc r="A158" t="inlineStr">
        <is>
          <t>Предоставление субсидий бюджетным, автономным учреждениям и иным некоммерческим организациям</t>
        </is>
      </nc>
      <ndxf>
        <numFmt numFmtId="30" formatCode="@"/>
        <fill>
          <patternFill patternType="solid">
            <bgColor theme="0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8" t="inlineStr">
        <is>
          <t>03 2 00 S6600</t>
        </is>
      </nc>
      <n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8">
        <v>600</v>
      </nc>
      <n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158">
        <f>D159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58">
        <f>E159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58">
        <f>F159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58" start="0" length="0">
      <dxf>
        <fill>
          <patternFill patternType="solid">
            <bgColor theme="0"/>
          </patternFill>
        </fill>
      </dxf>
    </rfmt>
    <rfmt sheetId="1" sqref="H158" start="0" length="0">
      <dxf>
        <fill>
          <patternFill patternType="solid">
            <bgColor theme="0"/>
          </patternFill>
        </fill>
      </dxf>
    </rfmt>
    <rfmt sheetId="1" sqref="I158" start="0" length="0">
      <dxf>
        <fill>
          <patternFill patternType="solid">
            <bgColor theme="0"/>
          </patternFill>
        </fill>
      </dxf>
    </rfmt>
  </rrc>
  <rrc rId="5169" sId="1" ref="A158:XFD158" action="deleteRow">
    <undo index="32" exp="area" ref3D="1" dr="$A$929:$XFD$931" dn="Z_D9B90A86_BE39_4FED_8226_084809D277F3_.wvu.Rows" sId="1"/>
    <undo index="30" exp="area" ref3D="1" dr="$A$869:$XFD$872" dn="Z_D9B90A86_BE39_4FED_8226_084809D277F3_.wvu.Rows" sId="1"/>
    <undo index="28" exp="area" ref3D="1" dr="$A$835:$XFD$840" dn="Z_D9B90A86_BE39_4FED_8226_084809D277F3_.wvu.Rows" sId="1"/>
    <undo index="26" exp="area" ref3D="1" dr="$A$819:$XFD$822" dn="Z_D9B90A86_BE39_4FED_8226_084809D277F3_.wvu.Rows" sId="1"/>
    <undo index="24" exp="area" ref3D="1" dr="$A$690:$XFD$693" dn="Z_D9B90A86_BE39_4FED_8226_084809D277F3_.wvu.Rows" sId="1"/>
    <undo index="22" exp="area" ref3D="1" dr="$A$565:$XFD$567" dn="Z_D9B90A86_BE39_4FED_8226_084809D277F3_.wvu.Rows" sId="1"/>
    <undo index="20" exp="area" ref3D="1" dr="$A$556:$XFD$559" dn="Z_D9B90A86_BE39_4FED_8226_084809D277F3_.wvu.Rows" sId="1"/>
    <undo index="18" exp="area" ref3D="1" dr="$A$542:$XFD$545" dn="Z_D9B90A86_BE39_4FED_8226_084809D277F3_.wvu.Rows" sId="1"/>
    <undo index="16" exp="area" ref3D="1" dr="$A$465:$XFD$469" dn="Z_D9B90A86_BE39_4FED_8226_084809D277F3_.wvu.Rows" sId="1"/>
    <undo index="14" exp="area" ref3D="1" dr="$A$407:$XFD$410" dn="Z_D9B90A86_BE39_4FED_8226_084809D277F3_.wvu.Rows" sId="1"/>
    <undo index="12" exp="area" ref3D="1" dr="$A$374:$XFD$377" dn="Z_D9B90A86_BE39_4FED_8226_084809D277F3_.wvu.Rows" sId="1"/>
    <undo index="10" exp="area" ref3D="1" dr="$A$352:$XFD$354" dn="Z_D9B90A86_BE39_4FED_8226_084809D277F3_.wvu.Rows" sId="1"/>
    <undo index="8" exp="area" ref3D="1" dr="$A$328:$XFD$331" dn="Z_D9B90A86_BE39_4FED_8226_084809D277F3_.wvu.Rows" sId="1"/>
    <undo index="6" exp="area" ref3D="1" dr="$A$158:$XFD$159" dn="Z_D9B90A86_BE39_4FED_8226_084809D277F3_.wvu.Rows" sId="1"/>
    <undo index="0" exp="area" ref3D="1" dr="$A$300:$XFD$308" dn="Z_30E81E54_DD45_4653_9DCD_548F6723F554_.wvu.Rows" sId="1"/>
    <rfmt sheetId="1" xfDxf="1" sqref="A158:XFD158" start="0" length="0">
      <dxf>
        <font>
          <name val="Times New Roman"/>
          <scheme val="none"/>
        </font>
        <alignment vertical="center" readingOrder="0"/>
      </dxf>
    </rfmt>
    <rcc rId="0" sId="1" dxf="1">
      <nc r="A158" t="inlineStr">
        <is>
          <t>Субсидии бюджетным учреждениям</t>
        </is>
      </nc>
      <ndxf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8" t="inlineStr">
        <is>
          <t>03 2 00 S6600</t>
        </is>
      </nc>
      <n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8">
        <v>610</v>
      </nc>
      <n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158">
        <f>D159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58">
        <f>E159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158">
        <f>F159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58" start="0" length="0">
      <dxf>
        <fill>
          <patternFill patternType="solid">
            <bgColor theme="0"/>
          </patternFill>
        </fill>
      </dxf>
    </rfmt>
    <rfmt sheetId="1" sqref="H158" start="0" length="0">
      <dxf>
        <fill>
          <patternFill patternType="solid">
            <bgColor theme="0"/>
          </patternFill>
        </fill>
      </dxf>
    </rfmt>
    <rfmt sheetId="1" sqref="I158" start="0" length="0">
      <dxf>
        <fill>
          <patternFill patternType="solid">
            <bgColor theme="0"/>
          </patternFill>
        </fill>
      </dxf>
    </rfmt>
  </rrc>
  <rrc rId="5170" sId="1" ref="A158:XFD158" action="deleteRow">
    <undo index="32" exp="area" ref3D="1" dr="$A$928:$XFD$930" dn="Z_D9B90A86_BE39_4FED_8226_084809D277F3_.wvu.Rows" sId="1"/>
    <undo index="30" exp="area" ref3D="1" dr="$A$868:$XFD$871" dn="Z_D9B90A86_BE39_4FED_8226_084809D277F3_.wvu.Rows" sId="1"/>
    <undo index="28" exp="area" ref3D="1" dr="$A$834:$XFD$839" dn="Z_D9B90A86_BE39_4FED_8226_084809D277F3_.wvu.Rows" sId="1"/>
    <undo index="26" exp="area" ref3D="1" dr="$A$818:$XFD$821" dn="Z_D9B90A86_BE39_4FED_8226_084809D277F3_.wvu.Rows" sId="1"/>
    <undo index="24" exp="area" ref3D="1" dr="$A$689:$XFD$692" dn="Z_D9B90A86_BE39_4FED_8226_084809D277F3_.wvu.Rows" sId="1"/>
    <undo index="22" exp="area" ref3D="1" dr="$A$564:$XFD$566" dn="Z_D9B90A86_BE39_4FED_8226_084809D277F3_.wvu.Rows" sId="1"/>
    <undo index="20" exp="area" ref3D="1" dr="$A$555:$XFD$558" dn="Z_D9B90A86_BE39_4FED_8226_084809D277F3_.wvu.Rows" sId="1"/>
    <undo index="18" exp="area" ref3D="1" dr="$A$541:$XFD$544" dn="Z_D9B90A86_BE39_4FED_8226_084809D277F3_.wvu.Rows" sId="1"/>
    <undo index="16" exp="area" ref3D="1" dr="$A$464:$XFD$468" dn="Z_D9B90A86_BE39_4FED_8226_084809D277F3_.wvu.Rows" sId="1"/>
    <undo index="14" exp="area" ref3D="1" dr="$A$406:$XFD$409" dn="Z_D9B90A86_BE39_4FED_8226_084809D277F3_.wvu.Rows" sId="1"/>
    <undo index="12" exp="area" ref3D="1" dr="$A$373:$XFD$376" dn="Z_D9B90A86_BE39_4FED_8226_084809D277F3_.wvu.Rows" sId="1"/>
    <undo index="10" exp="area" ref3D="1" dr="$A$351:$XFD$353" dn="Z_D9B90A86_BE39_4FED_8226_084809D277F3_.wvu.Rows" sId="1"/>
    <undo index="8" exp="area" ref3D="1" dr="$A$327:$XFD$330" dn="Z_D9B90A86_BE39_4FED_8226_084809D277F3_.wvu.Rows" sId="1"/>
    <undo index="6" exp="area" ref3D="1" dr="$A$158:$XFD$158" dn="Z_D9B90A86_BE39_4FED_8226_084809D277F3_.wvu.Rows" sId="1"/>
    <undo index="0" exp="area" ref3D="1" dr="$A$299:$XFD$307" dn="Z_30E81E54_DD45_4653_9DCD_548F6723F554_.wvu.Rows" sId="1"/>
    <rfmt sheetId="1" xfDxf="1" sqref="A158:XFD158" start="0" length="0">
      <dxf>
        <font>
          <name val="Times New Roman"/>
          <scheme val="none"/>
        </font>
        <alignment vertical="center" readingOrder="0"/>
      </dxf>
    </rfmt>
    <rcc rId="0" sId="1" dxf="1">
      <nc r="A158" t="inlineStr">
        <is>
          <t>Субсидии бюджетным учреждениям на  иные цели</t>
        </is>
      </nc>
      <ndxf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58" t="inlineStr">
        <is>
          <t>03 2 00 S6600</t>
        </is>
      </nc>
      <n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158">
        <v>612</v>
      </nc>
      <n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D158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58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F158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158" start="0" length="0">
      <dxf>
        <fill>
          <patternFill patternType="solid">
            <bgColor theme="0"/>
          </patternFill>
        </fill>
      </dxf>
    </rfmt>
    <rfmt sheetId="1" sqref="H158" start="0" length="0">
      <dxf>
        <fill>
          <patternFill patternType="solid">
            <bgColor theme="0"/>
          </patternFill>
        </fill>
      </dxf>
    </rfmt>
    <rfmt sheetId="1" sqref="I158" start="0" length="0">
      <dxf>
        <fill>
          <patternFill patternType="solid">
            <bgColor theme="0"/>
          </patternFill>
        </fill>
      </dxf>
    </rfmt>
  </rrc>
  <rcc rId="5171" sId="1">
    <oc r="D74">
      <f>D83+D87+D103+D108+#REF!+D154+#REF!+D158+#REF!+D119+D127+D140+D131+D123+D95+D115+D149+D91+D75+D99+D79</f>
    </oc>
    <nc r="D74">
      <f>D83+D87+D103+D108+D154+D158+D119+D127+D140+D131+D123+D95+D115+D149+D91+D75+D99+D79</f>
    </nc>
  </rcc>
  <rcc rId="5172" sId="1">
    <oc r="E74">
      <f>E83+E87+E103+E108+#REF!+E154+#REF!+E158+#REF!+E119+E127+E140+E131+E123+E95+E115+E149+E91+E75+E99+E79</f>
    </oc>
    <nc r="E74">
      <f>E83+E87+E103+E108+E154+E158+E119+E127+E140+E131+E123+E95+E115+E149+E91+E75+E99+E79</f>
    </nc>
  </rcc>
  <rcc rId="5173" sId="1">
    <oc r="F74">
      <f>F83+F87+F103+F108+#REF!+F154+#REF!+F158+#REF!+F119+F127+F140+F131+F123+F95+F115+F149+F91+F75+F99+F79</f>
    </oc>
    <nc r="F74">
      <f>F83+F87+F103+F108+F154+F158+F119+F127+F140+F131+F123+F95+F115+F149+F91+F75+F99+F79</f>
    </nc>
  </rcc>
  <rrc rId="5174" sId="1" ref="A326:XFD326" action="deleteRow">
    <undo index="1" exp="ref" v="1" dr="F326" r="F308" sId="1"/>
    <undo index="1" exp="ref" v="1" dr="E326" r="E308" sId="1"/>
    <undo index="1" exp="ref" v="1" dr="D326" r="D308" sId="1"/>
    <undo index="32" exp="area" ref3D="1" dr="$A$927:$XFD$929" dn="Z_D9B90A86_BE39_4FED_8226_084809D277F3_.wvu.Rows" sId="1"/>
    <undo index="30" exp="area" ref3D="1" dr="$A$867:$XFD$870" dn="Z_D9B90A86_BE39_4FED_8226_084809D277F3_.wvu.Rows" sId="1"/>
    <undo index="28" exp="area" ref3D="1" dr="$A$833:$XFD$838" dn="Z_D9B90A86_BE39_4FED_8226_084809D277F3_.wvu.Rows" sId="1"/>
    <undo index="26" exp="area" ref3D="1" dr="$A$817:$XFD$820" dn="Z_D9B90A86_BE39_4FED_8226_084809D277F3_.wvu.Rows" sId="1"/>
    <undo index="24" exp="area" ref3D="1" dr="$A$688:$XFD$691" dn="Z_D9B90A86_BE39_4FED_8226_084809D277F3_.wvu.Rows" sId="1"/>
    <undo index="22" exp="area" ref3D="1" dr="$A$563:$XFD$565" dn="Z_D9B90A86_BE39_4FED_8226_084809D277F3_.wvu.Rows" sId="1"/>
    <undo index="20" exp="area" ref3D="1" dr="$A$554:$XFD$557" dn="Z_D9B90A86_BE39_4FED_8226_084809D277F3_.wvu.Rows" sId="1"/>
    <undo index="18" exp="area" ref3D="1" dr="$A$540:$XFD$543" dn="Z_D9B90A86_BE39_4FED_8226_084809D277F3_.wvu.Rows" sId="1"/>
    <undo index="16" exp="area" ref3D="1" dr="$A$463:$XFD$467" dn="Z_D9B90A86_BE39_4FED_8226_084809D277F3_.wvu.Rows" sId="1"/>
    <undo index="14" exp="area" ref3D="1" dr="$A$405:$XFD$408" dn="Z_D9B90A86_BE39_4FED_8226_084809D277F3_.wvu.Rows" sId="1"/>
    <undo index="12" exp="area" ref3D="1" dr="$A$372:$XFD$375" dn="Z_D9B90A86_BE39_4FED_8226_084809D277F3_.wvu.Rows" sId="1"/>
    <undo index="10" exp="area" ref3D="1" dr="$A$350:$XFD$352" dn="Z_D9B90A86_BE39_4FED_8226_084809D277F3_.wvu.Rows" sId="1"/>
    <undo index="8" exp="area" ref3D="1" dr="$A$326:$XFD$329" dn="Z_D9B90A86_BE39_4FED_8226_084809D277F3_.wvu.Rows" sId="1"/>
    <rfmt sheetId="1" xfDxf="1" sqref="A326:XFD326" start="0" length="0">
      <dxf>
        <font>
          <name val="Times New Roman"/>
          <scheme val="none"/>
        </font>
        <alignment vertical="center" readingOrder="0"/>
      </dxf>
    </rfmt>
    <rcc rId="0" sId="1" dxf="1">
      <nc r="A326" t="inlineStr">
        <is>
          <t>Мероприятия по развитию физической культуры и спорта в муниципальных образованиях</t>
        </is>
      </nc>
      <ndxf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326" t="inlineStr">
        <is>
          <t>06 1 00 S8520</t>
        </is>
      </nc>
      <ndxf>
        <numFmt numFmtId="30" formatCode="@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326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D326">
        <f>D327</f>
      </nc>
      <ndxf>
        <numFmt numFmtId="167" formatCode="_(* #,##0.00_);_(* \(#,##0.00\);_(* &quot;-&quot;??_);_(@_)"/>
        <fill>
          <patternFill patternType="solid">
            <bgColor theme="0"/>
          </patternFill>
        </fill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26">
        <f>E327</f>
      </nc>
      <ndxf>
        <numFmt numFmtId="167" formatCode="_(* #,##0.00_);_(* \(#,##0.00\);_(* &quot;-&quot;??_);_(@_)"/>
        <fill>
          <patternFill patternType="solid">
            <bgColor theme="0"/>
          </patternFill>
        </fill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326">
        <f>F327</f>
      </nc>
      <ndxf>
        <numFmt numFmtId="167" formatCode="_(* #,##0.00_);_(* \(#,##0.00\);_(* &quot;-&quot;??_);_(@_)"/>
        <fill>
          <patternFill patternType="solid">
            <bgColor theme="0"/>
          </patternFill>
        </fill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26" start="0" length="0">
      <dxf>
        <fill>
          <patternFill patternType="solid">
            <bgColor theme="0"/>
          </patternFill>
        </fill>
      </dxf>
    </rfmt>
    <rfmt sheetId="1" sqref="H326" start="0" length="0">
      <dxf>
        <fill>
          <patternFill patternType="solid">
            <bgColor theme="0"/>
          </patternFill>
        </fill>
      </dxf>
    </rfmt>
    <rfmt sheetId="1" sqref="I326" start="0" length="0">
      <dxf>
        <fill>
          <patternFill patternType="solid">
            <bgColor theme="0"/>
          </patternFill>
        </fill>
      </dxf>
    </rfmt>
  </rrc>
  <rrc rId="5175" sId="1" ref="A326:XFD326" action="deleteRow">
    <undo index="32" exp="area" ref3D="1" dr="$A$926:$XFD$928" dn="Z_D9B90A86_BE39_4FED_8226_084809D277F3_.wvu.Rows" sId="1"/>
    <undo index="30" exp="area" ref3D="1" dr="$A$866:$XFD$869" dn="Z_D9B90A86_BE39_4FED_8226_084809D277F3_.wvu.Rows" sId="1"/>
    <undo index="28" exp="area" ref3D="1" dr="$A$832:$XFD$837" dn="Z_D9B90A86_BE39_4FED_8226_084809D277F3_.wvu.Rows" sId="1"/>
    <undo index="26" exp="area" ref3D="1" dr="$A$816:$XFD$819" dn="Z_D9B90A86_BE39_4FED_8226_084809D277F3_.wvu.Rows" sId="1"/>
    <undo index="24" exp="area" ref3D="1" dr="$A$687:$XFD$690" dn="Z_D9B90A86_BE39_4FED_8226_084809D277F3_.wvu.Rows" sId="1"/>
    <undo index="22" exp="area" ref3D="1" dr="$A$562:$XFD$564" dn="Z_D9B90A86_BE39_4FED_8226_084809D277F3_.wvu.Rows" sId="1"/>
    <undo index="20" exp="area" ref3D="1" dr="$A$553:$XFD$556" dn="Z_D9B90A86_BE39_4FED_8226_084809D277F3_.wvu.Rows" sId="1"/>
    <undo index="18" exp="area" ref3D="1" dr="$A$539:$XFD$542" dn="Z_D9B90A86_BE39_4FED_8226_084809D277F3_.wvu.Rows" sId="1"/>
    <undo index="16" exp="area" ref3D="1" dr="$A$462:$XFD$466" dn="Z_D9B90A86_BE39_4FED_8226_084809D277F3_.wvu.Rows" sId="1"/>
    <undo index="14" exp="area" ref3D="1" dr="$A$404:$XFD$407" dn="Z_D9B90A86_BE39_4FED_8226_084809D277F3_.wvu.Rows" sId="1"/>
    <undo index="12" exp="area" ref3D="1" dr="$A$371:$XFD$374" dn="Z_D9B90A86_BE39_4FED_8226_084809D277F3_.wvu.Rows" sId="1"/>
    <undo index="10" exp="area" ref3D="1" dr="$A$349:$XFD$351" dn="Z_D9B90A86_BE39_4FED_8226_084809D277F3_.wvu.Rows" sId="1"/>
    <undo index="8" exp="area" ref3D="1" dr="$A$326:$XFD$328" dn="Z_D9B90A86_BE39_4FED_8226_084809D277F3_.wvu.Rows" sId="1"/>
    <rfmt sheetId="1" xfDxf="1" sqref="A326:XFD326" start="0" length="0">
      <dxf>
        <font>
          <name val="Times New Roman"/>
          <scheme val="none"/>
        </font>
        <alignment vertical="center" readingOrder="0"/>
      </dxf>
    </rfmt>
    <rcc rId="0" sId="1" dxf="1">
      <nc r="A326" t="inlineStr">
        <is>
          <t>Закупка товаров, работ и услуг для обеспечения государственных (муниципальных) нужд</t>
        </is>
      </nc>
      <ndxf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326" t="inlineStr">
        <is>
          <t>06 1 00 S8520</t>
        </is>
      </nc>
      <ndxf>
        <numFmt numFmtId="30" formatCode="@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quotePrefix="1">
      <nc r="C326" t="inlineStr">
        <is>
          <t>200</t>
        </is>
      </nc>
      <n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326">
        <f>D327</f>
      </nc>
      <ndxf>
        <numFmt numFmtId="167" formatCode="_(* #,##0.00_);_(* \(#,##0.00\);_(* &quot;-&quot;??_);_(@_)"/>
        <fill>
          <patternFill patternType="solid">
            <bgColor theme="0"/>
          </patternFill>
        </fill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26">
        <f>E327</f>
      </nc>
      <ndxf>
        <numFmt numFmtId="167" formatCode="_(* #,##0.00_);_(* \(#,##0.00\);_(* &quot;-&quot;??_);_(@_)"/>
        <fill>
          <patternFill patternType="solid">
            <bgColor theme="0"/>
          </patternFill>
        </fill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326">
        <f>F327</f>
      </nc>
      <ndxf>
        <numFmt numFmtId="167" formatCode="_(* #,##0.00_);_(* \(#,##0.00\);_(* &quot;-&quot;??_);_(@_)"/>
        <fill>
          <patternFill patternType="solid">
            <bgColor theme="0"/>
          </patternFill>
        </fill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26" start="0" length="0">
      <dxf>
        <fill>
          <patternFill patternType="solid">
            <bgColor theme="0"/>
          </patternFill>
        </fill>
      </dxf>
    </rfmt>
    <rfmt sheetId="1" sqref="H326" start="0" length="0">
      <dxf>
        <fill>
          <patternFill patternType="solid">
            <bgColor theme="0"/>
          </patternFill>
        </fill>
      </dxf>
    </rfmt>
    <rfmt sheetId="1" sqref="I326" start="0" length="0">
      <dxf>
        <fill>
          <patternFill patternType="solid">
            <bgColor theme="0"/>
          </patternFill>
        </fill>
      </dxf>
    </rfmt>
  </rrc>
  <rrc rId="5176" sId="1" ref="A326:XFD326" action="deleteRow">
    <undo index="32" exp="area" ref3D="1" dr="$A$925:$XFD$927" dn="Z_D9B90A86_BE39_4FED_8226_084809D277F3_.wvu.Rows" sId="1"/>
    <undo index="30" exp="area" ref3D="1" dr="$A$865:$XFD$868" dn="Z_D9B90A86_BE39_4FED_8226_084809D277F3_.wvu.Rows" sId="1"/>
    <undo index="28" exp="area" ref3D="1" dr="$A$831:$XFD$836" dn="Z_D9B90A86_BE39_4FED_8226_084809D277F3_.wvu.Rows" sId="1"/>
    <undo index="26" exp="area" ref3D="1" dr="$A$815:$XFD$818" dn="Z_D9B90A86_BE39_4FED_8226_084809D277F3_.wvu.Rows" sId="1"/>
    <undo index="24" exp="area" ref3D="1" dr="$A$686:$XFD$689" dn="Z_D9B90A86_BE39_4FED_8226_084809D277F3_.wvu.Rows" sId="1"/>
    <undo index="22" exp="area" ref3D="1" dr="$A$561:$XFD$563" dn="Z_D9B90A86_BE39_4FED_8226_084809D277F3_.wvu.Rows" sId="1"/>
    <undo index="20" exp="area" ref3D="1" dr="$A$552:$XFD$555" dn="Z_D9B90A86_BE39_4FED_8226_084809D277F3_.wvu.Rows" sId="1"/>
    <undo index="18" exp="area" ref3D="1" dr="$A$538:$XFD$541" dn="Z_D9B90A86_BE39_4FED_8226_084809D277F3_.wvu.Rows" sId="1"/>
    <undo index="16" exp="area" ref3D="1" dr="$A$461:$XFD$465" dn="Z_D9B90A86_BE39_4FED_8226_084809D277F3_.wvu.Rows" sId="1"/>
    <undo index="14" exp="area" ref3D="1" dr="$A$403:$XFD$406" dn="Z_D9B90A86_BE39_4FED_8226_084809D277F3_.wvu.Rows" sId="1"/>
    <undo index="12" exp="area" ref3D="1" dr="$A$370:$XFD$373" dn="Z_D9B90A86_BE39_4FED_8226_084809D277F3_.wvu.Rows" sId="1"/>
    <undo index="10" exp="area" ref3D="1" dr="$A$348:$XFD$350" dn="Z_D9B90A86_BE39_4FED_8226_084809D277F3_.wvu.Rows" sId="1"/>
    <undo index="8" exp="area" ref3D="1" dr="$A$326:$XFD$327" dn="Z_D9B90A86_BE39_4FED_8226_084809D277F3_.wvu.Rows" sId="1"/>
    <rfmt sheetId="1" xfDxf="1" sqref="A326:XFD326" start="0" length="0">
      <dxf>
        <font>
          <name val="Times New Roman"/>
          <scheme val="none"/>
        </font>
        <alignment vertical="center" readingOrder="0"/>
      </dxf>
    </rfmt>
    <rcc rId="0" sId="1" dxf="1">
      <nc r="A326" t="inlineStr">
        <is>
          <t>Иные закупки товаров,работ и услуг для обеспечения государственных (муниципальных) нужд</t>
        </is>
      </nc>
      <ndxf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326" t="inlineStr">
        <is>
          <t>06 1 00 S8520</t>
        </is>
      </nc>
      <ndxf>
        <numFmt numFmtId="30" formatCode="@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quotePrefix="1">
      <nc r="C326" t="inlineStr">
        <is>
          <t>240</t>
        </is>
      </nc>
      <n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326">
        <f>D327</f>
      </nc>
      <ndxf>
        <numFmt numFmtId="167" formatCode="_(* #,##0.00_);_(* \(#,##0.00\);_(* &quot;-&quot;??_);_(@_)"/>
        <fill>
          <patternFill patternType="solid">
            <bgColor theme="0"/>
          </patternFill>
        </fill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26">
        <f>E327</f>
      </nc>
      <ndxf>
        <numFmt numFmtId="167" formatCode="_(* #,##0.00_);_(* \(#,##0.00\);_(* &quot;-&quot;??_);_(@_)"/>
        <fill>
          <patternFill patternType="solid">
            <bgColor theme="0"/>
          </patternFill>
        </fill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326">
        <f>F327</f>
      </nc>
      <ndxf>
        <numFmt numFmtId="167" formatCode="_(* #,##0.00_);_(* \(#,##0.00\);_(* &quot;-&quot;??_);_(@_)"/>
        <fill>
          <patternFill patternType="solid">
            <bgColor theme="0"/>
          </patternFill>
        </fill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26" start="0" length="0">
      <dxf>
        <fill>
          <patternFill patternType="solid">
            <bgColor theme="0"/>
          </patternFill>
        </fill>
      </dxf>
    </rfmt>
    <rfmt sheetId="1" sqref="H326" start="0" length="0">
      <dxf>
        <fill>
          <patternFill patternType="solid">
            <bgColor theme="0"/>
          </patternFill>
        </fill>
      </dxf>
    </rfmt>
    <rfmt sheetId="1" sqref="I326" start="0" length="0">
      <dxf>
        <fill>
          <patternFill patternType="solid">
            <bgColor theme="0"/>
          </patternFill>
        </fill>
      </dxf>
    </rfmt>
  </rrc>
  <rrc rId="5177" sId="1" ref="A326:XFD326" action="deleteRow">
    <undo index="32" exp="area" ref3D="1" dr="$A$924:$XFD$926" dn="Z_D9B90A86_BE39_4FED_8226_084809D277F3_.wvu.Rows" sId="1"/>
    <undo index="30" exp="area" ref3D="1" dr="$A$864:$XFD$867" dn="Z_D9B90A86_BE39_4FED_8226_084809D277F3_.wvu.Rows" sId="1"/>
    <undo index="28" exp="area" ref3D="1" dr="$A$830:$XFD$835" dn="Z_D9B90A86_BE39_4FED_8226_084809D277F3_.wvu.Rows" sId="1"/>
    <undo index="26" exp="area" ref3D="1" dr="$A$814:$XFD$817" dn="Z_D9B90A86_BE39_4FED_8226_084809D277F3_.wvu.Rows" sId="1"/>
    <undo index="24" exp="area" ref3D="1" dr="$A$685:$XFD$688" dn="Z_D9B90A86_BE39_4FED_8226_084809D277F3_.wvu.Rows" sId="1"/>
    <undo index="22" exp="area" ref3D="1" dr="$A$560:$XFD$562" dn="Z_D9B90A86_BE39_4FED_8226_084809D277F3_.wvu.Rows" sId="1"/>
    <undo index="20" exp="area" ref3D="1" dr="$A$551:$XFD$554" dn="Z_D9B90A86_BE39_4FED_8226_084809D277F3_.wvu.Rows" sId="1"/>
    <undo index="18" exp="area" ref3D="1" dr="$A$537:$XFD$540" dn="Z_D9B90A86_BE39_4FED_8226_084809D277F3_.wvu.Rows" sId="1"/>
    <undo index="16" exp="area" ref3D="1" dr="$A$460:$XFD$464" dn="Z_D9B90A86_BE39_4FED_8226_084809D277F3_.wvu.Rows" sId="1"/>
    <undo index="14" exp="area" ref3D="1" dr="$A$402:$XFD$405" dn="Z_D9B90A86_BE39_4FED_8226_084809D277F3_.wvu.Rows" sId="1"/>
    <undo index="12" exp="area" ref3D="1" dr="$A$369:$XFD$372" dn="Z_D9B90A86_BE39_4FED_8226_084809D277F3_.wvu.Rows" sId="1"/>
    <undo index="10" exp="area" ref3D="1" dr="$A$347:$XFD$349" dn="Z_D9B90A86_BE39_4FED_8226_084809D277F3_.wvu.Rows" sId="1"/>
    <undo index="8" exp="area" ref3D="1" dr="$A$326:$XFD$326" dn="Z_D9B90A86_BE39_4FED_8226_084809D277F3_.wvu.Rows" sId="1"/>
    <rfmt sheetId="1" xfDxf="1" sqref="A326:XFD326" start="0" length="0">
      <dxf>
        <font>
          <name val="Times New Roman"/>
          <scheme val="none"/>
        </font>
        <alignment vertical="center" readingOrder="0"/>
      </dxf>
    </rfmt>
    <rcc rId="0" sId="1" dxf="1">
      <nc r="A326" t="inlineStr">
        <is>
          <t xml:space="preserve">Прочая закупка товаров, работ и услуг </t>
        </is>
      </nc>
      <ndxf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326" t="inlineStr">
        <is>
          <t>06 1 00 S8520</t>
        </is>
      </nc>
      <ndxf>
        <numFmt numFmtId="30" formatCode="@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quotePrefix="1">
      <nc r="C326" t="inlineStr">
        <is>
          <t>244</t>
        </is>
      </nc>
      <n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D326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26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F326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26" start="0" length="0">
      <dxf>
        <fill>
          <patternFill patternType="solid">
            <bgColor theme="0"/>
          </patternFill>
        </fill>
      </dxf>
    </rfmt>
    <rfmt sheetId="1" sqref="H326" start="0" length="0">
      <dxf>
        <fill>
          <patternFill patternType="solid">
            <bgColor theme="0"/>
          </patternFill>
        </fill>
      </dxf>
    </rfmt>
    <rfmt sheetId="1" sqref="I326" start="0" length="0">
      <dxf>
        <fill>
          <patternFill patternType="solid">
            <bgColor theme="0"/>
          </patternFill>
        </fill>
      </dxf>
    </rfmt>
  </rrc>
  <rrc rId="5178" sId="1" ref="A346:XFD346" action="deleteRow">
    <undo index="0" exp="ref" v="1" dr="F346" r="F341" sId="1"/>
    <undo index="0" exp="ref" v="1" dr="E346" r="E341" sId="1"/>
    <undo index="0" exp="ref" v="1" dr="D346" r="D341" sId="1"/>
    <undo index="32" exp="area" ref3D="1" dr="$A$923:$XFD$925" dn="Z_D9B90A86_BE39_4FED_8226_084809D277F3_.wvu.Rows" sId="1"/>
    <undo index="30" exp="area" ref3D="1" dr="$A$863:$XFD$866" dn="Z_D9B90A86_BE39_4FED_8226_084809D277F3_.wvu.Rows" sId="1"/>
    <undo index="28" exp="area" ref3D="1" dr="$A$829:$XFD$834" dn="Z_D9B90A86_BE39_4FED_8226_084809D277F3_.wvu.Rows" sId="1"/>
    <undo index="26" exp="area" ref3D="1" dr="$A$813:$XFD$816" dn="Z_D9B90A86_BE39_4FED_8226_084809D277F3_.wvu.Rows" sId="1"/>
    <undo index="24" exp="area" ref3D="1" dr="$A$684:$XFD$687" dn="Z_D9B90A86_BE39_4FED_8226_084809D277F3_.wvu.Rows" sId="1"/>
    <undo index="22" exp="area" ref3D="1" dr="$A$559:$XFD$561" dn="Z_D9B90A86_BE39_4FED_8226_084809D277F3_.wvu.Rows" sId="1"/>
    <undo index="20" exp="area" ref3D="1" dr="$A$550:$XFD$553" dn="Z_D9B90A86_BE39_4FED_8226_084809D277F3_.wvu.Rows" sId="1"/>
    <undo index="18" exp="area" ref3D="1" dr="$A$536:$XFD$539" dn="Z_D9B90A86_BE39_4FED_8226_084809D277F3_.wvu.Rows" sId="1"/>
    <undo index="16" exp="area" ref3D="1" dr="$A$459:$XFD$463" dn="Z_D9B90A86_BE39_4FED_8226_084809D277F3_.wvu.Rows" sId="1"/>
    <undo index="14" exp="area" ref3D="1" dr="$A$401:$XFD$404" dn="Z_D9B90A86_BE39_4FED_8226_084809D277F3_.wvu.Rows" sId="1"/>
    <undo index="12" exp="area" ref3D="1" dr="$A$368:$XFD$371" dn="Z_D9B90A86_BE39_4FED_8226_084809D277F3_.wvu.Rows" sId="1"/>
    <undo index="10" exp="area" ref3D="1" dr="$A$346:$XFD$348" dn="Z_D9B90A86_BE39_4FED_8226_084809D277F3_.wvu.Rows" sId="1"/>
    <rfmt sheetId="1" xfDxf="1" sqref="A346:XFD346" start="0" length="0">
      <dxf>
        <font>
          <name val="Times New Roman"/>
          <scheme val="none"/>
        </font>
        <fill>
          <patternFill patternType="solid">
            <bgColor rgb="FF00B050"/>
          </patternFill>
        </fill>
        <alignment vertical="center" readingOrder="0"/>
      </dxf>
    </rfmt>
    <rcc rId="0" sId="1" dxf="1">
      <nc r="A346" t="inlineStr">
        <is>
          <t>Закупка товаров, работ и услуг для обеспечения государственных (муниципальных) нужд</t>
        </is>
      </nc>
      <ndxf>
        <fill>
          <patternFill>
            <bgColor theme="0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346" t="inlineStr">
        <is>
          <t>06 2 00 S6910</t>
        </is>
      </nc>
      <ndxf>
        <numFmt numFmtId="164" formatCode="_-* #,##0.00_р_._-;\-* #,##0.00_р_._-;_-* &quot;-&quot;??_р_._-;_-@_-"/>
        <fill>
          <patternFill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C346">
        <v>200</v>
      </nc>
      <ndxf>
        <fill>
          <patternFill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346">
        <f>D347</f>
      </nc>
      <ndxf>
        <numFmt numFmtId="164" formatCode="_-* #,##0.00_р_._-;\-* #,##0.00_р_._-;_-* &quot;-&quot;??_р_._-;_-@_-"/>
        <fill>
          <patternFill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46">
        <f>E347</f>
      </nc>
      <ndxf>
        <numFmt numFmtId="164" formatCode="_-* #,##0.00_р_._-;\-* #,##0.00_р_._-;_-* &quot;-&quot;??_р_._-;_-@_-"/>
        <fill>
          <patternFill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346">
        <f>F347</f>
      </nc>
      <ndxf>
        <numFmt numFmtId="164" formatCode="_-* #,##0.00_р_._-;\-* #,##0.00_р_._-;_-* &quot;-&quot;??_р_._-;_-@_-"/>
        <fill>
          <patternFill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46" start="0" length="0">
      <dxf>
        <fill>
          <patternFill>
            <bgColor theme="0"/>
          </patternFill>
        </fill>
      </dxf>
    </rfmt>
    <rfmt sheetId="1" sqref="H346" start="0" length="0">
      <dxf>
        <fill>
          <patternFill>
            <bgColor theme="0"/>
          </patternFill>
        </fill>
      </dxf>
    </rfmt>
    <rfmt sheetId="1" sqref="I346" start="0" length="0">
      <dxf>
        <fill>
          <patternFill>
            <bgColor theme="0"/>
          </patternFill>
        </fill>
      </dxf>
    </rfmt>
  </rrc>
  <rrc rId="5179" sId="1" ref="A346:XFD346" action="deleteRow">
    <undo index="32" exp="area" ref3D="1" dr="$A$922:$XFD$924" dn="Z_D9B90A86_BE39_4FED_8226_084809D277F3_.wvu.Rows" sId="1"/>
    <undo index="30" exp="area" ref3D="1" dr="$A$862:$XFD$865" dn="Z_D9B90A86_BE39_4FED_8226_084809D277F3_.wvu.Rows" sId="1"/>
    <undo index="28" exp="area" ref3D="1" dr="$A$828:$XFD$833" dn="Z_D9B90A86_BE39_4FED_8226_084809D277F3_.wvu.Rows" sId="1"/>
    <undo index="26" exp="area" ref3D="1" dr="$A$812:$XFD$815" dn="Z_D9B90A86_BE39_4FED_8226_084809D277F3_.wvu.Rows" sId="1"/>
    <undo index="24" exp="area" ref3D="1" dr="$A$683:$XFD$686" dn="Z_D9B90A86_BE39_4FED_8226_084809D277F3_.wvu.Rows" sId="1"/>
    <undo index="22" exp="area" ref3D="1" dr="$A$558:$XFD$560" dn="Z_D9B90A86_BE39_4FED_8226_084809D277F3_.wvu.Rows" sId="1"/>
    <undo index="20" exp="area" ref3D="1" dr="$A$549:$XFD$552" dn="Z_D9B90A86_BE39_4FED_8226_084809D277F3_.wvu.Rows" sId="1"/>
    <undo index="18" exp="area" ref3D="1" dr="$A$535:$XFD$538" dn="Z_D9B90A86_BE39_4FED_8226_084809D277F3_.wvu.Rows" sId="1"/>
    <undo index="16" exp="area" ref3D="1" dr="$A$458:$XFD$462" dn="Z_D9B90A86_BE39_4FED_8226_084809D277F3_.wvu.Rows" sId="1"/>
    <undo index="14" exp="area" ref3D="1" dr="$A$400:$XFD$403" dn="Z_D9B90A86_BE39_4FED_8226_084809D277F3_.wvu.Rows" sId="1"/>
    <undo index="12" exp="area" ref3D="1" dr="$A$367:$XFD$370" dn="Z_D9B90A86_BE39_4FED_8226_084809D277F3_.wvu.Rows" sId="1"/>
    <undo index="10" exp="area" ref3D="1" dr="$A$346:$XFD$347" dn="Z_D9B90A86_BE39_4FED_8226_084809D277F3_.wvu.Rows" sId="1"/>
    <rfmt sheetId="1" xfDxf="1" sqref="A346:XFD346" start="0" length="0">
      <dxf>
        <font>
          <name val="Times New Roman"/>
          <scheme val="none"/>
        </font>
        <fill>
          <patternFill patternType="solid">
            <bgColor rgb="FF00B050"/>
          </patternFill>
        </fill>
        <alignment vertical="center" readingOrder="0"/>
      </dxf>
    </rfmt>
    <rcc rId="0" sId="1" dxf="1">
      <nc r="A346" t="inlineStr">
        <is>
          <t>Иные закупки товаров,работ и услуг для обеспечения государственных (муниципальных) нужд</t>
        </is>
      </nc>
      <ndxf>
        <fill>
          <patternFill>
            <bgColor theme="0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346" t="inlineStr">
        <is>
          <t>06 2 00 S6910</t>
        </is>
      </nc>
      <ndxf>
        <numFmt numFmtId="164" formatCode="_-* #,##0.00_р_._-;\-* #,##0.00_р_._-;_-* &quot;-&quot;??_р_._-;_-@_-"/>
        <fill>
          <patternFill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C346">
        <v>240</v>
      </nc>
      <ndxf>
        <fill>
          <patternFill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346">
        <f>D347</f>
      </nc>
      <ndxf>
        <numFmt numFmtId="164" formatCode="_-* #,##0.00_р_._-;\-* #,##0.00_р_._-;_-* &quot;-&quot;??_р_._-;_-@_-"/>
        <fill>
          <patternFill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46">
        <f>E347</f>
      </nc>
      <ndxf>
        <numFmt numFmtId="164" formatCode="_-* #,##0.00_р_._-;\-* #,##0.00_р_._-;_-* &quot;-&quot;??_р_._-;_-@_-"/>
        <fill>
          <patternFill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346">
        <f>F347</f>
      </nc>
      <ndxf>
        <numFmt numFmtId="164" formatCode="_-* #,##0.00_р_._-;\-* #,##0.00_р_._-;_-* &quot;-&quot;??_р_._-;_-@_-"/>
        <fill>
          <patternFill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46" start="0" length="0">
      <dxf>
        <fill>
          <patternFill>
            <bgColor theme="0"/>
          </patternFill>
        </fill>
      </dxf>
    </rfmt>
    <rfmt sheetId="1" sqref="H346" start="0" length="0">
      <dxf>
        <fill>
          <patternFill>
            <bgColor theme="0"/>
          </patternFill>
        </fill>
      </dxf>
    </rfmt>
    <rfmt sheetId="1" sqref="I346" start="0" length="0">
      <dxf>
        <fill>
          <patternFill>
            <bgColor theme="0"/>
          </patternFill>
        </fill>
      </dxf>
    </rfmt>
  </rrc>
  <rrc rId="5180" sId="1" ref="A346:XFD346" action="deleteRow">
    <undo index="32" exp="area" ref3D="1" dr="$A$921:$XFD$923" dn="Z_D9B90A86_BE39_4FED_8226_084809D277F3_.wvu.Rows" sId="1"/>
    <undo index="30" exp="area" ref3D="1" dr="$A$861:$XFD$864" dn="Z_D9B90A86_BE39_4FED_8226_084809D277F3_.wvu.Rows" sId="1"/>
    <undo index="28" exp="area" ref3D="1" dr="$A$827:$XFD$832" dn="Z_D9B90A86_BE39_4FED_8226_084809D277F3_.wvu.Rows" sId="1"/>
    <undo index="26" exp="area" ref3D="1" dr="$A$811:$XFD$814" dn="Z_D9B90A86_BE39_4FED_8226_084809D277F3_.wvu.Rows" sId="1"/>
    <undo index="24" exp="area" ref3D="1" dr="$A$682:$XFD$685" dn="Z_D9B90A86_BE39_4FED_8226_084809D277F3_.wvu.Rows" sId="1"/>
    <undo index="22" exp="area" ref3D="1" dr="$A$557:$XFD$559" dn="Z_D9B90A86_BE39_4FED_8226_084809D277F3_.wvu.Rows" sId="1"/>
    <undo index="20" exp="area" ref3D="1" dr="$A$548:$XFD$551" dn="Z_D9B90A86_BE39_4FED_8226_084809D277F3_.wvu.Rows" sId="1"/>
    <undo index="18" exp="area" ref3D="1" dr="$A$534:$XFD$537" dn="Z_D9B90A86_BE39_4FED_8226_084809D277F3_.wvu.Rows" sId="1"/>
    <undo index="16" exp="area" ref3D="1" dr="$A$457:$XFD$461" dn="Z_D9B90A86_BE39_4FED_8226_084809D277F3_.wvu.Rows" sId="1"/>
    <undo index="14" exp="area" ref3D="1" dr="$A$399:$XFD$402" dn="Z_D9B90A86_BE39_4FED_8226_084809D277F3_.wvu.Rows" sId="1"/>
    <undo index="12" exp="area" ref3D="1" dr="$A$366:$XFD$369" dn="Z_D9B90A86_BE39_4FED_8226_084809D277F3_.wvu.Rows" sId="1"/>
    <undo index="10" exp="area" ref3D="1" dr="$A$346:$XFD$346" dn="Z_D9B90A86_BE39_4FED_8226_084809D277F3_.wvu.Rows" sId="1"/>
    <rfmt sheetId="1" xfDxf="1" sqref="A346:XFD346" start="0" length="0">
      <dxf>
        <font>
          <name val="Times New Roman"/>
          <scheme val="none"/>
        </font>
        <fill>
          <patternFill patternType="solid">
            <bgColor rgb="FF00B050"/>
          </patternFill>
        </fill>
        <alignment vertical="center" readingOrder="0"/>
      </dxf>
    </rfmt>
    <rcc rId="0" sId="1" dxf="1">
      <nc r="A346" t="inlineStr">
        <is>
          <t xml:space="preserve">Прочая закупка товаров, работ и услуг </t>
        </is>
      </nc>
      <ndxf>
        <fill>
          <patternFill>
            <bgColor theme="0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346" t="inlineStr">
        <is>
          <t>06 2 00 S6910</t>
        </is>
      </nc>
      <ndxf>
        <numFmt numFmtId="164" formatCode="_-* #,##0.00_р_._-;\-* #,##0.00_р_._-;_-* &quot;-&quot;??_р_._-;_-@_-"/>
        <fill>
          <patternFill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C346">
        <v>244</v>
      </nc>
      <ndxf>
        <fill>
          <patternFill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D346" start="0" length="0">
      <dxf>
        <numFmt numFmtId="164" formatCode="_-* #,##0.00_р_._-;\-* #,##0.00_р_._-;_-* &quot;-&quot;??_р_._-;_-@_-"/>
        <fill>
          <patternFill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346" start="0" length="0">
      <dxf>
        <numFmt numFmtId="164" formatCode="_-* #,##0.00_р_._-;\-* #,##0.00_р_._-;_-* &quot;-&quot;??_р_._-;_-@_-"/>
        <fill>
          <patternFill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346" start="0" length="0">
      <dxf>
        <numFmt numFmtId="164" formatCode="_-* #,##0.00_р_._-;\-* #,##0.00_р_._-;_-* &quot;-&quot;??_р_._-;_-@_-"/>
        <fill>
          <patternFill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46" start="0" length="0">
      <dxf>
        <fill>
          <patternFill>
            <bgColor theme="0"/>
          </patternFill>
        </fill>
      </dxf>
    </rfmt>
    <rfmt sheetId="1" sqref="H346" start="0" length="0">
      <dxf>
        <fill>
          <patternFill>
            <bgColor theme="0"/>
          </patternFill>
        </fill>
      </dxf>
    </rfmt>
    <rfmt sheetId="1" sqref="I346" start="0" length="0">
      <dxf>
        <fill>
          <patternFill>
            <bgColor theme="0"/>
          </patternFill>
        </fill>
      </dxf>
    </rfmt>
  </rrc>
  <rcc rId="5181" sId="1">
    <oc r="D341">
      <f>#REF!+D346+D342</f>
    </oc>
    <nc r="D341">
      <f>D346+D342</f>
    </nc>
  </rcc>
  <rcc rId="5182" sId="1">
    <oc r="E341">
      <f>#REF!+E346+E342</f>
    </oc>
    <nc r="E341">
      <f>E346+E342</f>
    </nc>
  </rcc>
  <rcc rId="5183" sId="1">
    <oc r="F341">
      <f>#REF!+F346+F342</f>
    </oc>
    <nc r="F341">
      <f>F346+F342</f>
    </nc>
  </rcc>
  <rrc rId="5184" sId="1" ref="A365:XFD365" action="deleteRow">
    <undo index="0" exp="ref" v="1" dr="F365" r="F364" sId="1"/>
    <undo index="0" exp="ref" v="1" dr="E365" r="E364" sId="1"/>
    <undo index="0" exp="ref" v="1" dr="D365" r="D364" sId="1"/>
    <undo index="32" exp="area" ref3D="1" dr="$A$920:$XFD$922" dn="Z_D9B90A86_BE39_4FED_8226_084809D277F3_.wvu.Rows" sId="1"/>
    <undo index="30" exp="area" ref3D="1" dr="$A$860:$XFD$863" dn="Z_D9B90A86_BE39_4FED_8226_084809D277F3_.wvu.Rows" sId="1"/>
    <undo index="28" exp="area" ref3D="1" dr="$A$826:$XFD$831" dn="Z_D9B90A86_BE39_4FED_8226_084809D277F3_.wvu.Rows" sId="1"/>
    <undo index="26" exp="area" ref3D="1" dr="$A$810:$XFD$813" dn="Z_D9B90A86_BE39_4FED_8226_084809D277F3_.wvu.Rows" sId="1"/>
    <undo index="24" exp="area" ref3D="1" dr="$A$681:$XFD$684" dn="Z_D9B90A86_BE39_4FED_8226_084809D277F3_.wvu.Rows" sId="1"/>
    <undo index="22" exp="area" ref3D="1" dr="$A$556:$XFD$558" dn="Z_D9B90A86_BE39_4FED_8226_084809D277F3_.wvu.Rows" sId="1"/>
    <undo index="20" exp="area" ref3D="1" dr="$A$547:$XFD$550" dn="Z_D9B90A86_BE39_4FED_8226_084809D277F3_.wvu.Rows" sId="1"/>
    <undo index="18" exp="area" ref3D="1" dr="$A$533:$XFD$536" dn="Z_D9B90A86_BE39_4FED_8226_084809D277F3_.wvu.Rows" sId="1"/>
    <undo index="16" exp="area" ref3D="1" dr="$A$456:$XFD$460" dn="Z_D9B90A86_BE39_4FED_8226_084809D277F3_.wvu.Rows" sId="1"/>
    <undo index="14" exp="area" ref3D="1" dr="$A$398:$XFD$401" dn="Z_D9B90A86_BE39_4FED_8226_084809D277F3_.wvu.Rows" sId="1"/>
    <undo index="12" exp="area" ref3D="1" dr="$A$365:$XFD$368" dn="Z_D9B90A86_BE39_4FED_8226_084809D277F3_.wvu.Rows" sId="1"/>
    <rfmt sheetId="1" xfDxf="1" sqref="A365:XFD365" start="0" length="0">
      <dxf>
        <font>
          <name val="Times New Roman"/>
          <scheme val="none"/>
        </font>
      </dxf>
    </rfmt>
    <rcc rId="0" sId="1" dxf="1">
      <nc r="A365" t="inlineStr">
        <is>
          <t xml:space="preserve">Мероприятияв сфере общественного пассажирского транспорта и транспортной инфраструктуры </t>
        </is>
      </nc>
      <ndxf>
        <fill>
          <patternFill patternType="solid">
            <bgColor theme="0"/>
          </patternFill>
        </fill>
        <alignment horizontal="justify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5" t="inlineStr">
        <is>
          <t>08 0 00 S6790</t>
        </is>
      </nc>
      <ndxf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365" start="0" length="0">
      <dxf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D365">
        <f>D367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65">
        <f>E367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365">
        <f>F367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65" start="0" length="0">
      <dxf>
        <fill>
          <patternFill patternType="solid">
            <bgColor theme="0"/>
          </patternFill>
        </fill>
      </dxf>
    </rfmt>
    <rfmt sheetId="1" sqref="H365" start="0" length="0">
      <dxf>
        <fill>
          <patternFill patternType="solid">
            <bgColor theme="0"/>
          </patternFill>
        </fill>
      </dxf>
    </rfmt>
    <rfmt sheetId="1" sqref="I365" start="0" length="0">
      <dxf>
        <fill>
          <patternFill patternType="solid">
            <bgColor theme="0"/>
          </patternFill>
        </fill>
      </dxf>
    </rfmt>
  </rrc>
  <rrc rId="5185" sId="1" ref="A365:XFD365" action="deleteRow">
    <undo index="32" exp="area" ref3D="1" dr="$A$919:$XFD$921" dn="Z_D9B90A86_BE39_4FED_8226_084809D277F3_.wvu.Rows" sId="1"/>
    <undo index="30" exp="area" ref3D="1" dr="$A$859:$XFD$862" dn="Z_D9B90A86_BE39_4FED_8226_084809D277F3_.wvu.Rows" sId="1"/>
    <undo index="28" exp="area" ref3D="1" dr="$A$825:$XFD$830" dn="Z_D9B90A86_BE39_4FED_8226_084809D277F3_.wvu.Rows" sId="1"/>
    <undo index="26" exp="area" ref3D="1" dr="$A$809:$XFD$812" dn="Z_D9B90A86_BE39_4FED_8226_084809D277F3_.wvu.Rows" sId="1"/>
    <undo index="24" exp="area" ref3D="1" dr="$A$680:$XFD$683" dn="Z_D9B90A86_BE39_4FED_8226_084809D277F3_.wvu.Rows" sId="1"/>
    <undo index="22" exp="area" ref3D="1" dr="$A$555:$XFD$557" dn="Z_D9B90A86_BE39_4FED_8226_084809D277F3_.wvu.Rows" sId="1"/>
    <undo index="20" exp="area" ref3D="1" dr="$A$546:$XFD$549" dn="Z_D9B90A86_BE39_4FED_8226_084809D277F3_.wvu.Rows" sId="1"/>
    <undo index="18" exp="area" ref3D="1" dr="$A$532:$XFD$535" dn="Z_D9B90A86_BE39_4FED_8226_084809D277F3_.wvu.Rows" sId="1"/>
    <undo index="16" exp="area" ref3D="1" dr="$A$455:$XFD$459" dn="Z_D9B90A86_BE39_4FED_8226_084809D277F3_.wvu.Rows" sId="1"/>
    <undo index="14" exp="area" ref3D="1" dr="$A$397:$XFD$400" dn="Z_D9B90A86_BE39_4FED_8226_084809D277F3_.wvu.Rows" sId="1"/>
    <undo index="12" exp="area" ref3D="1" dr="$A$365:$XFD$367" dn="Z_D9B90A86_BE39_4FED_8226_084809D277F3_.wvu.Rows" sId="1"/>
    <rfmt sheetId="1" xfDxf="1" sqref="A365:XFD365" start="0" length="0">
      <dxf>
        <font>
          <name val="Times New Roman"/>
          <scheme val="none"/>
        </font>
      </dxf>
    </rfmt>
    <rcc rId="0" sId="1" dxf="1">
      <nc r="A365" t="inlineStr">
        <is>
          <t>Закупка товаров, работ и услуг для обеспечения государственных (муниципальных) нужд</t>
        </is>
      </nc>
      <ndxf>
        <fill>
          <patternFill patternType="solid">
            <bgColor theme="0"/>
          </patternFill>
        </fill>
        <alignment horizontal="justify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5" t="inlineStr">
        <is>
          <t>08 0 00 S6790</t>
        </is>
      </nc>
      <ndxf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5">
        <v>200</v>
      </nc>
      <ndxf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D365">
        <f>D366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65">
        <f>E366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365">
        <f>F366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65" start="0" length="0">
      <dxf>
        <fill>
          <patternFill patternType="solid">
            <bgColor theme="0"/>
          </patternFill>
        </fill>
      </dxf>
    </rfmt>
    <rfmt sheetId="1" sqref="H365" start="0" length="0">
      <dxf>
        <fill>
          <patternFill patternType="solid">
            <bgColor theme="0"/>
          </patternFill>
        </fill>
      </dxf>
    </rfmt>
    <rfmt sheetId="1" sqref="I365" start="0" length="0">
      <dxf>
        <fill>
          <patternFill patternType="solid">
            <bgColor theme="0"/>
          </patternFill>
        </fill>
      </dxf>
    </rfmt>
  </rrc>
  <rrc rId="5186" sId="1" ref="A365:XFD365" action="deleteRow">
    <undo index="32" exp="area" ref3D="1" dr="$A$918:$XFD$920" dn="Z_D9B90A86_BE39_4FED_8226_084809D277F3_.wvu.Rows" sId="1"/>
    <undo index="30" exp="area" ref3D="1" dr="$A$858:$XFD$861" dn="Z_D9B90A86_BE39_4FED_8226_084809D277F3_.wvu.Rows" sId="1"/>
    <undo index="28" exp="area" ref3D="1" dr="$A$824:$XFD$829" dn="Z_D9B90A86_BE39_4FED_8226_084809D277F3_.wvu.Rows" sId="1"/>
    <undo index="26" exp="area" ref3D="1" dr="$A$808:$XFD$811" dn="Z_D9B90A86_BE39_4FED_8226_084809D277F3_.wvu.Rows" sId="1"/>
    <undo index="24" exp="area" ref3D="1" dr="$A$679:$XFD$682" dn="Z_D9B90A86_BE39_4FED_8226_084809D277F3_.wvu.Rows" sId="1"/>
    <undo index="22" exp="area" ref3D="1" dr="$A$554:$XFD$556" dn="Z_D9B90A86_BE39_4FED_8226_084809D277F3_.wvu.Rows" sId="1"/>
    <undo index="20" exp="area" ref3D="1" dr="$A$545:$XFD$548" dn="Z_D9B90A86_BE39_4FED_8226_084809D277F3_.wvu.Rows" sId="1"/>
    <undo index="18" exp="area" ref3D="1" dr="$A$531:$XFD$534" dn="Z_D9B90A86_BE39_4FED_8226_084809D277F3_.wvu.Rows" sId="1"/>
    <undo index="16" exp="area" ref3D="1" dr="$A$454:$XFD$458" dn="Z_D9B90A86_BE39_4FED_8226_084809D277F3_.wvu.Rows" sId="1"/>
    <undo index="14" exp="area" ref3D="1" dr="$A$396:$XFD$399" dn="Z_D9B90A86_BE39_4FED_8226_084809D277F3_.wvu.Rows" sId="1"/>
    <undo index="12" exp="area" ref3D="1" dr="$A$365:$XFD$366" dn="Z_D9B90A86_BE39_4FED_8226_084809D277F3_.wvu.Rows" sId="1"/>
    <rfmt sheetId="1" xfDxf="1" sqref="A365:XFD365" start="0" length="0">
      <dxf>
        <font>
          <name val="Times New Roman"/>
          <scheme val="none"/>
        </font>
      </dxf>
    </rfmt>
    <rcc rId="0" sId="1" dxf="1">
      <nc r="A365" t="inlineStr">
        <is>
          <t>Иные закупки товаров,работ и услуг для обеспечения государственных (муниципальных) нужд</t>
        </is>
      </nc>
      <ndxf>
        <fill>
          <patternFill patternType="solid">
            <bgColor theme="0"/>
          </patternFill>
        </fill>
        <alignment horizontal="justify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5" t="inlineStr">
        <is>
          <t>08 0 00 S6790</t>
        </is>
      </nc>
      <ndxf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5">
        <v>240</v>
      </nc>
      <ndxf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D365">
        <f>D366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65">
        <f>E366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365">
        <f>F366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65" start="0" length="0">
      <dxf>
        <fill>
          <patternFill patternType="solid">
            <bgColor theme="0"/>
          </patternFill>
        </fill>
      </dxf>
    </rfmt>
    <rfmt sheetId="1" sqref="H365" start="0" length="0">
      <dxf>
        <fill>
          <patternFill patternType="solid">
            <bgColor theme="0"/>
          </patternFill>
        </fill>
      </dxf>
    </rfmt>
    <rfmt sheetId="1" sqref="I365" start="0" length="0">
      <dxf>
        <fill>
          <patternFill patternType="solid">
            <bgColor theme="0"/>
          </patternFill>
        </fill>
      </dxf>
    </rfmt>
  </rrc>
  <rrc rId="5187" sId="1" ref="A365:XFD365" action="deleteRow">
    <undo index="32" exp="area" ref3D="1" dr="$A$917:$XFD$919" dn="Z_D9B90A86_BE39_4FED_8226_084809D277F3_.wvu.Rows" sId="1"/>
    <undo index="30" exp="area" ref3D="1" dr="$A$857:$XFD$860" dn="Z_D9B90A86_BE39_4FED_8226_084809D277F3_.wvu.Rows" sId="1"/>
    <undo index="28" exp="area" ref3D="1" dr="$A$823:$XFD$828" dn="Z_D9B90A86_BE39_4FED_8226_084809D277F3_.wvu.Rows" sId="1"/>
    <undo index="26" exp="area" ref3D="1" dr="$A$807:$XFD$810" dn="Z_D9B90A86_BE39_4FED_8226_084809D277F3_.wvu.Rows" sId="1"/>
    <undo index="24" exp="area" ref3D="1" dr="$A$678:$XFD$681" dn="Z_D9B90A86_BE39_4FED_8226_084809D277F3_.wvu.Rows" sId="1"/>
    <undo index="22" exp="area" ref3D="1" dr="$A$553:$XFD$555" dn="Z_D9B90A86_BE39_4FED_8226_084809D277F3_.wvu.Rows" sId="1"/>
    <undo index="20" exp="area" ref3D="1" dr="$A$544:$XFD$547" dn="Z_D9B90A86_BE39_4FED_8226_084809D277F3_.wvu.Rows" sId="1"/>
    <undo index="18" exp="area" ref3D="1" dr="$A$530:$XFD$533" dn="Z_D9B90A86_BE39_4FED_8226_084809D277F3_.wvu.Rows" sId="1"/>
    <undo index="16" exp="area" ref3D="1" dr="$A$453:$XFD$457" dn="Z_D9B90A86_BE39_4FED_8226_084809D277F3_.wvu.Rows" sId="1"/>
    <undo index="14" exp="area" ref3D="1" dr="$A$395:$XFD$398" dn="Z_D9B90A86_BE39_4FED_8226_084809D277F3_.wvu.Rows" sId="1"/>
    <undo index="12" exp="area" ref3D="1" dr="$A$365:$XFD$365" dn="Z_D9B90A86_BE39_4FED_8226_084809D277F3_.wvu.Rows" sId="1"/>
    <rfmt sheetId="1" xfDxf="1" sqref="A365:XFD365" start="0" length="0">
      <dxf>
        <font>
          <name val="Times New Roman"/>
          <scheme val="none"/>
        </font>
      </dxf>
    </rfmt>
    <rcc rId="0" sId="1" dxf="1">
      <nc r="A365" t="inlineStr">
        <is>
          <t xml:space="preserve">Прочая закупка товаров, работ и услуг </t>
        </is>
      </nc>
      <ndxf>
        <fill>
          <patternFill patternType="solid">
            <bgColor theme="0"/>
          </patternFill>
        </fill>
        <alignment horizontal="justify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65" t="inlineStr">
        <is>
          <t>08 0 00 S6790</t>
        </is>
      </nc>
      <ndxf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65">
        <v>244</v>
      </nc>
      <ndxf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 numFmtId="34">
      <nc r="D365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65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F365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65" start="0" length="0">
      <dxf>
        <fill>
          <patternFill patternType="solid">
            <bgColor theme="0"/>
          </patternFill>
        </fill>
      </dxf>
    </rfmt>
    <rfmt sheetId="1" sqref="H365" start="0" length="0">
      <dxf>
        <fill>
          <patternFill patternType="solid">
            <bgColor theme="0"/>
          </patternFill>
        </fill>
      </dxf>
    </rfmt>
    <rfmt sheetId="1" sqref="I365" start="0" length="0">
      <dxf>
        <fill>
          <patternFill patternType="solid">
            <bgColor theme="0"/>
          </patternFill>
        </fill>
      </dxf>
    </rfmt>
  </rrc>
  <rcc rId="5188" sId="1">
    <oc r="D308">
      <f>D309+#REF!+D322</f>
    </oc>
    <nc r="D308">
      <f>D309+D322</f>
    </nc>
  </rcc>
  <rcc rId="5189" sId="1">
    <oc r="E308">
      <f>E309+#REF!+E322</f>
    </oc>
    <nc r="E308">
      <f>E309+E322</f>
    </nc>
  </rcc>
  <rcc rId="5190" sId="1">
    <oc r="F308">
      <f>F309+#REF!+F322</f>
    </oc>
    <nc r="F308">
      <f>F309+F322</f>
    </nc>
  </rcc>
  <rcc rId="5191" sId="1">
    <oc r="D364">
      <f>#REF!+D365+D373+D378+D382+D369</f>
    </oc>
    <nc r="D364">
      <f>D365+D373+D378+D382+D369</f>
    </nc>
  </rcc>
  <rcc rId="5192" sId="1">
    <oc r="E364">
      <f>#REF!+E365+E373+E378+E382+E369</f>
    </oc>
    <nc r="E364">
      <f>E365+E373+E378+E382+E369</f>
    </nc>
  </rcc>
  <rcc rId="5193" sId="1">
    <oc r="F364">
      <f>#REF!+F365+F373+F378+F382+F369</f>
    </oc>
    <nc r="F364">
      <f>F365+F373+F378+F382+F369</f>
    </nc>
  </rcc>
  <rrc rId="5194" sId="1" ref="A394:XFD394" action="deleteRow">
    <undo index="0" exp="ref" v="1" dr="F394" r="F393" sId="1"/>
    <undo index="0" exp="ref" v="1" dr="E394" r="E393" sId="1"/>
    <undo index="0" exp="ref" v="1" dr="D394" r="D393" sId="1"/>
    <undo index="32" exp="area" ref3D="1" dr="$A$916:$XFD$918" dn="Z_D9B90A86_BE39_4FED_8226_084809D277F3_.wvu.Rows" sId="1"/>
    <undo index="30" exp="area" ref3D="1" dr="$A$856:$XFD$859" dn="Z_D9B90A86_BE39_4FED_8226_084809D277F3_.wvu.Rows" sId="1"/>
    <undo index="28" exp="area" ref3D="1" dr="$A$822:$XFD$827" dn="Z_D9B90A86_BE39_4FED_8226_084809D277F3_.wvu.Rows" sId="1"/>
    <undo index="26" exp="area" ref3D="1" dr="$A$806:$XFD$809" dn="Z_D9B90A86_BE39_4FED_8226_084809D277F3_.wvu.Rows" sId="1"/>
    <undo index="24" exp="area" ref3D="1" dr="$A$677:$XFD$680" dn="Z_D9B90A86_BE39_4FED_8226_084809D277F3_.wvu.Rows" sId="1"/>
    <undo index="22" exp="area" ref3D="1" dr="$A$552:$XFD$554" dn="Z_D9B90A86_BE39_4FED_8226_084809D277F3_.wvu.Rows" sId="1"/>
    <undo index="20" exp="area" ref3D="1" dr="$A$543:$XFD$546" dn="Z_D9B90A86_BE39_4FED_8226_084809D277F3_.wvu.Rows" sId="1"/>
    <undo index="18" exp="area" ref3D="1" dr="$A$529:$XFD$532" dn="Z_D9B90A86_BE39_4FED_8226_084809D277F3_.wvu.Rows" sId="1"/>
    <undo index="16" exp="area" ref3D="1" dr="$A$452:$XFD$456" dn="Z_D9B90A86_BE39_4FED_8226_084809D277F3_.wvu.Rows" sId="1"/>
    <undo index="14" exp="area" ref3D="1" dr="$A$394:$XFD$397" dn="Z_D9B90A86_BE39_4FED_8226_084809D277F3_.wvu.Rows" sId="1"/>
    <rfmt sheetId="1" xfDxf="1" sqref="A394:XFD394" start="0" length="0">
      <dxf>
        <font>
          <i/>
          <name val="Times New Roman"/>
          <scheme val="none"/>
        </font>
        <alignment vertical="center" readingOrder="0"/>
      </dxf>
    </rfmt>
    <rcc rId="0" sId="1" dxf="1">
      <nc r="A394" t="inlineStr">
        <is>
          <t>Реализация мероприятий по устойчивому развитию сельских территорий</t>
        </is>
      </nc>
      <ndxf>
        <font>
          <i val="0"/>
          <name val="Times New Roman"/>
          <scheme val="none"/>
        </font>
        <fill>
          <patternFill patternType="solid">
            <bgColor theme="0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4" t="inlineStr">
        <is>
          <t>10 1 00 L5760</t>
        </is>
      </nc>
      <ndxf>
        <font>
          <i val="0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C394" start="0" length="0">
      <dxf>
        <font>
          <i val="0"/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D394">
        <f>D396</f>
      </nc>
      <ndxf>
        <font>
          <i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94">
        <f>E396</f>
      </nc>
      <ndxf>
        <font>
          <i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394">
        <f>F396</f>
      </nc>
      <ndxf>
        <font>
          <i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94" start="0" length="0">
      <dxf>
        <fill>
          <patternFill patternType="solid">
            <bgColor theme="0"/>
          </patternFill>
        </fill>
      </dxf>
    </rfmt>
    <rfmt sheetId="1" sqref="H394" start="0" length="0">
      <dxf>
        <fill>
          <patternFill patternType="solid">
            <bgColor theme="0"/>
          </patternFill>
        </fill>
      </dxf>
    </rfmt>
    <rfmt sheetId="1" sqref="I394" start="0" length="0">
      <dxf>
        <fill>
          <patternFill patternType="solid">
            <bgColor theme="0"/>
          </patternFill>
        </fill>
      </dxf>
    </rfmt>
  </rrc>
  <rrc rId="5195" sId="1" ref="A394:XFD394" action="deleteRow">
    <undo index="32" exp="area" ref3D="1" dr="$A$915:$XFD$917" dn="Z_D9B90A86_BE39_4FED_8226_084809D277F3_.wvu.Rows" sId="1"/>
    <undo index="30" exp="area" ref3D="1" dr="$A$855:$XFD$858" dn="Z_D9B90A86_BE39_4FED_8226_084809D277F3_.wvu.Rows" sId="1"/>
    <undo index="28" exp="area" ref3D="1" dr="$A$821:$XFD$826" dn="Z_D9B90A86_BE39_4FED_8226_084809D277F3_.wvu.Rows" sId="1"/>
    <undo index="26" exp="area" ref3D="1" dr="$A$805:$XFD$808" dn="Z_D9B90A86_BE39_4FED_8226_084809D277F3_.wvu.Rows" sId="1"/>
    <undo index="24" exp="area" ref3D="1" dr="$A$676:$XFD$679" dn="Z_D9B90A86_BE39_4FED_8226_084809D277F3_.wvu.Rows" sId="1"/>
    <undo index="22" exp="area" ref3D="1" dr="$A$551:$XFD$553" dn="Z_D9B90A86_BE39_4FED_8226_084809D277F3_.wvu.Rows" sId="1"/>
    <undo index="20" exp="area" ref3D="1" dr="$A$542:$XFD$545" dn="Z_D9B90A86_BE39_4FED_8226_084809D277F3_.wvu.Rows" sId="1"/>
    <undo index="18" exp="area" ref3D="1" dr="$A$528:$XFD$531" dn="Z_D9B90A86_BE39_4FED_8226_084809D277F3_.wvu.Rows" sId="1"/>
    <undo index="16" exp="area" ref3D="1" dr="$A$451:$XFD$455" dn="Z_D9B90A86_BE39_4FED_8226_084809D277F3_.wvu.Rows" sId="1"/>
    <undo index="14" exp="area" ref3D="1" dr="$A$394:$XFD$396" dn="Z_D9B90A86_BE39_4FED_8226_084809D277F3_.wvu.Rows" sId="1"/>
    <rfmt sheetId="1" xfDxf="1" sqref="A394:XFD394" start="0" length="0">
      <dxf>
        <font>
          <name val="Times New Roman"/>
          <scheme val="none"/>
        </font>
        <alignment vertical="center" readingOrder="0"/>
      </dxf>
    </rfmt>
    <rcc rId="0" sId="1" dxf="1">
      <nc r="A394" t="inlineStr">
        <is>
          <t>Социальное обеспечение и иные выплаты населению</t>
        </is>
      </nc>
      <ndxf>
        <fill>
          <patternFill patternType="solid">
            <bgColor theme="0"/>
          </patternFill>
        </fill>
        <alignment horizontal="justify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4" t="inlineStr">
        <is>
          <t>10 1 00 L5760</t>
        </is>
      </nc>
      <ndxf>
        <numFmt numFmtId="30" formatCode="@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394">
        <v>300</v>
      </nc>
      <n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394">
        <f>D395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94">
        <f>E395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394">
        <f>F395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94" start="0" length="0">
      <dxf>
        <fill>
          <patternFill patternType="solid">
            <bgColor theme="0"/>
          </patternFill>
        </fill>
      </dxf>
    </rfmt>
    <rfmt sheetId="1" sqref="H394" start="0" length="0">
      <dxf>
        <fill>
          <patternFill patternType="solid">
            <bgColor theme="0"/>
          </patternFill>
        </fill>
      </dxf>
    </rfmt>
    <rfmt sheetId="1" sqref="I394" start="0" length="0">
      <dxf>
        <fill>
          <patternFill patternType="solid">
            <bgColor theme="0"/>
          </patternFill>
        </fill>
      </dxf>
    </rfmt>
  </rrc>
  <rrc rId="5196" sId="1" ref="A394:XFD394" action="deleteRow">
    <undo index="32" exp="area" ref3D="1" dr="$A$914:$XFD$916" dn="Z_D9B90A86_BE39_4FED_8226_084809D277F3_.wvu.Rows" sId="1"/>
    <undo index="30" exp="area" ref3D="1" dr="$A$854:$XFD$857" dn="Z_D9B90A86_BE39_4FED_8226_084809D277F3_.wvu.Rows" sId="1"/>
    <undo index="28" exp="area" ref3D="1" dr="$A$820:$XFD$825" dn="Z_D9B90A86_BE39_4FED_8226_084809D277F3_.wvu.Rows" sId="1"/>
    <undo index="26" exp="area" ref3D="1" dr="$A$804:$XFD$807" dn="Z_D9B90A86_BE39_4FED_8226_084809D277F3_.wvu.Rows" sId="1"/>
    <undo index="24" exp="area" ref3D="1" dr="$A$675:$XFD$678" dn="Z_D9B90A86_BE39_4FED_8226_084809D277F3_.wvu.Rows" sId="1"/>
    <undo index="22" exp="area" ref3D="1" dr="$A$550:$XFD$552" dn="Z_D9B90A86_BE39_4FED_8226_084809D277F3_.wvu.Rows" sId="1"/>
    <undo index="20" exp="area" ref3D="1" dr="$A$541:$XFD$544" dn="Z_D9B90A86_BE39_4FED_8226_084809D277F3_.wvu.Rows" sId="1"/>
    <undo index="18" exp="area" ref3D="1" dr="$A$527:$XFD$530" dn="Z_D9B90A86_BE39_4FED_8226_084809D277F3_.wvu.Rows" sId="1"/>
    <undo index="16" exp="area" ref3D="1" dr="$A$450:$XFD$454" dn="Z_D9B90A86_BE39_4FED_8226_084809D277F3_.wvu.Rows" sId="1"/>
    <undo index="14" exp="area" ref3D="1" dr="$A$394:$XFD$395" dn="Z_D9B90A86_BE39_4FED_8226_084809D277F3_.wvu.Rows" sId="1"/>
    <rfmt sheetId="1" xfDxf="1" sqref="A394:XFD394" start="0" length="0">
      <dxf>
        <font>
          <name val="Times New Roman"/>
          <scheme val="none"/>
        </font>
        <alignment vertical="center" readingOrder="0"/>
      </dxf>
    </rfmt>
    <rcc rId="0" sId="1" dxf="1">
      <nc r="A394" t="inlineStr">
        <is>
          <t>Социальные выплаты гражданам, кроме публичных нормативных социальных выплат</t>
        </is>
      </nc>
      <ndxf>
        <fill>
          <patternFill patternType="solid">
            <bgColor theme="0"/>
          </patternFill>
        </fill>
        <alignment horizontal="justify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4" t="inlineStr">
        <is>
          <t>10 1 00 L5760</t>
        </is>
      </nc>
      <ndxf>
        <numFmt numFmtId="30" formatCode="@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394">
        <v>320</v>
      </nc>
      <n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394">
        <f>D395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94">
        <f>E395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394">
        <f>F395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94" start="0" length="0">
      <dxf>
        <fill>
          <patternFill patternType="solid">
            <bgColor theme="0"/>
          </patternFill>
        </fill>
      </dxf>
    </rfmt>
    <rfmt sheetId="1" sqref="H394" start="0" length="0">
      <dxf>
        <fill>
          <patternFill patternType="solid">
            <bgColor theme="0"/>
          </patternFill>
        </fill>
      </dxf>
    </rfmt>
    <rfmt sheetId="1" sqref="I394" start="0" length="0">
      <dxf>
        <fill>
          <patternFill patternType="solid">
            <bgColor theme="0"/>
          </patternFill>
        </fill>
      </dxf>
    </rfmt>
  </rrc>
  <rrc rId="5197" sId="1" ref="A394:XFD394" action="deleteRow">
    <undo index="32" exp="area" ref3D="1" dr="$A$913:$XFD$915" dn="Z_D9B90A86_BE39_4FED_8226_084809D277F3_.wvu.Rows" sId="1"/>
    <undo index="30" exp="area" ref3D="1" dr="$A$853:$XFD$856" dn="Z_D9B90A86_BE39_4FED_8226_084809D277F3_.wvu.Rows" sId="1"/>
    <undo index="28" exp="area" ref3D="1" dr="$A$819:$XFD$824" dn="Z_D9B90A86_BE39_4FED_8226_084809D277F3_.wvu.Rows" sId="1"/>
    <undo index="26" exp="area" ref3D="1" dr="$A$803:$XFD$806" dn="Z_D9B90A86_BE39_4FED_8226_084809D277F3_.wvu.Rows" sId="1"/>
    <undo index="24" exp="area" ref3D="1" dr="$A$674:$XFD$677" dn="Z_D9B90A86_BE39_4FED_8226_084809D277F3_.wvu.Rows" sId="1"/>
    <undo index="22" exp="area" ref3D="1" dr="$A$549:$XFD$551" dn="Z_D9B90A86_BE39_4FED_8226_084809D277F3_.wvu.Rows" sId="1"/>
    <undo index="20" exp="area" ref3D="1" dr="$A$540:$XFD$543" dn="Z_D9B90A86_BE39_4FED_8226_084809D277F3_.wvu.Rows" sId="1"/>
    <undo index="18" exp="area" ref3D="1" dr="$A$526:$XFD$529" dn="Z_D9B90A86_BE39_4FED_8226_084809D277F3_.wvu.Rows" sId="1"/>
    <undo index="16" exp="area" ref3D="1" dr="$A$449:$XFD$453" dn="Z_D9B90A86_BE39_4FED_8226_084809D277F3_.wvu.Rows" sId="1"/>
    <undo index="14" exp="area" ref3D="1" dr="$A$394:$XFD$394" dn="Z_D9B90A86_BE39_4FED_8226_084809D277F3_.wvu.Rows" sId="1"/>
    <rfmt sheetId="1" xfDxf="1" sqref="A394:XFD394" start="0" length="0">
      <dxf>
        <font>
          <name val="Times New Roman"/>
          <scheme val="none"/>
        </font>
        <alignment vertical="center" readingOrder="0"/>
      </dxf>
    </rfmt>
    <rcc rId="0" sId="1" dxf="1">
      <nc r="A394" t="inlineStr">
        <is>
          <t>Субсидии гражданам на приобретение жилья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94" t="inlineStr">
        <is>
          <t>10 1 00 L5760</t>
        </is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C394">
        <v>322</v>
      </nc>
      <n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D394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94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F394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394" start="0" length="0">
      <dxf>
        <fill>
          <patternFill patternType="solid">
            <bgColor theme="0"/>
          </patternFill>
        </fill>
      </dxf>
    </rfmt>
    <rfmt sheetId="1" sqref="H394" start="0" length="0">
      <dxf>
        <fill>
          <patternFill patternType="solid">
            <bgColor theme="0"/>
          </patternFill>
        </fill>
      </dxf>
    </rfmt>
    <rfmt sheetId="1" sqref="I394" start="0" length="0">
      <dxf>
        <fill>
          <patternFill patternType="solid">
            <bgColor theme="0"/>
          </patternFill>
        </fill>
      </dxf>
    </rfmt>
  </rrc>
  <rcc rId="5198" sId="1">
    <oc r="D393">
      <f>#REF!+D394</f>
    </oc>
    <nc r="D393">
      <f>D394</f>
    </nc>
  </rcc>
  <rcc rId="5199" sId="1">
    <oc r="E393">
      <f>#REF!+E394</f>
    </oc>
    <nc r="E393">
      <f>E394</f>
    </nc>
  </rcc>
  <rcc rId="5200" sId="1">
    <oc r="F393">
      <f>#REF!+F394</f>
    </oc>
    <nc r="F393">
      <f>F394</f>
    </nc>
  </rcc>
  <rrc rId="5201" sId="1" ref="A448:XFD448" action="deleteRow">
    <undo index="3" exp="ref" v="1" dr="F448" r="F404" sId="1"/>
    <undo index="3" exp="ref" v="1" dr="E448" r="E404" sId="1"/>
    <undo index="3" exp="ref" v="1" dr="D448" r="D404" sId="1"/>
    <undo index="32" exp="area" ref3D="1" dr="$A$912:$XFD$914" dn="Z_D9B90A86_BE39_4FED_8226_084809D277F3_.wvu.Rows" sId="1"/>
    <undo index="30" exp="area" ref3D="1" dr="$A$852:$XFD$855" dn="Z_D9B90A86_BE39_4FED_8226_084809D277F3_.wvu.Rows" sId="1"/>
    <undo index="28" exp="area" ref3D="1" dr="$A$818:$XFD$823" dn="Z_D9B90A86_BE39_4FED_8226_084809D277F3_.wvu.Rows" sId="1"/>
    <undo index="26" exp="area" ref3D="1" dr="$A$802:$XFD$805" dn="Z_D9B90A86_BE39_4FED_8226_084809D277F3_.wvu.Rows" sId="1"/>
    <undo index="24" exp="area" ref3D="1" dr="$A$673:$XFD$676" dn="Z_D9B90A86_BE39_4FED_8226_084809D277F3_.wvu.Rows" sId="1"/>
    <undo index="22" exp="area" ref3D="1" dr="$A$548:$XFD$550" dn="Z_D9B90A86_BE39_4FED_8226_084809D277F3_.wvu.Rows" sId="1"/>
    <undo index="20" exp="area" ref3D="1" dr="$A$539:$XFD$542" dn="Z_D9B90A86_BE39_4FED_8226_084809D277F3_.wvu.Rows" sId="1"/>
    <undo index="18" exp="area" ref3D="1" dr="$A$525:$XFD$528" dn="Z_D9B90A86_BE39_4FED_8226_084809D277F3_.wvu.Rows" sId="1"/>
    <undo index="16" exp="area" ref3D="1" dr="$A$448:$XFD$452" dn="Z_D9B90A86_BE39_4FED_8226_084809D277F3_.wvu.Rows" sId="1"/>
    <rfmt sheetId="1" xfDxf="1" sqref="A448:XFD448" start="0" length="0">
      <dxf>
        <font>
          <b/>
          <name val="Times New Roman"/>
          <scheme val="none"/>
        </font>
        <alignment vertical="center" readingOrder="0"/>
      </dxf>
    </rfmt>
    <rcc rId="0" sId="1" dxf="1">
      <nc r="A448" t="inlineStr">
        <is>
          <t>Подпрограмма "Развитие туризма"</t>
        </is>
      </nc>
      <ndxf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448" t="inlineStr">
        <is>
          <t>12 3 00 00000</t>
        </is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C448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D448">
        <f>D449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48">
        <f>E449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448">
        <f>F449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48" start="0" length="0">
      <dxf>
        <fill>
          <patternFill patternType="solid">
            <bgColor theme="0"/>
          </patternFill>
        </fill>
      </dxf>
    </rfmt>
    <rfmt sheetId="1" sqref="H448" start="0" length="0">
      <dxf>
        <fill>
          <patternFill patternType="solid">
            <bgColor theme="0"/>
          </patternFill>
        </fill>
      </dxf>
    </rfmt>
    <rfmt sheetId="1" sqref="I448" start="0" length="0">
      <dxf>
        <fill>
          <patternFill patternType="solid">
            <bgColor theme="0"/>
          </patternFill>
        </fill>
      </dxf>
    </rfmt>
  </rrc>
  <rrc rId="5202" sId="1" ref="A448:XFD448" action="deleteRow">
    <undo index="32" exp="area" ref3D="1" dr="$A$911:$XFD$913" dn="Z_D9B90A86_BE39_4FED_8226_084809D277F3_.wvu.Rows" sId="1"/>
    <undo index="30" exp="area" ref3D="1" dr="$A$851:$XFD$854" dn="Z_D9B90A86_BE39_4FED_8226_084809D277F3_.wvu.Rows" sId="1"/>
    <undo index="28" exp="area" ref3D="1" dr="$A$817:$XFD$822" dn="Z_D9B90A86_BE39_4FED_8226_084809D277F3_.wvu.Rows" sId="1"/>
    <undo index="26" exp="area" ref3D="1" dr="$A$801:$XFD$804" dn="Z_D9B90A86_BE39_4FED_8226_084809D277F3_.wvu.Rows" sId="1"/>
    <undo index="24" exp="area" ref3D="1" dr="$A$672:$XFD$675" dn="Z_D9B90A86_BE39_4FED_8226_084809D277F3_.wvu.Rows" sId="1"/>
    <undo index="22" exp="area" ref3D="1" dr="$A$547:$XFD$549" dn="Z_D9B90A86_BE39_4FED_8226_084809D277F3_.wvu.Rows" sId="1"/>
    <undo index="20" exp="area" ref3D="1" dr="$A$538:$XFD$541" dn="Z_D9B90A86_BE39_4FED_8226_084809D277F3_.wvu.Rows" sId="1"/>
    <undo index="18" exp="area" ref3D="1" dr="$A$524:$XFD$527" dn="Z_D9B90A86_BE39_4FED_8226_084809D277F3_.wvu.Rows" sId="1"/>
    <undo index="16" exp="area" ref3D="1" dr="$A$448:$XFD$451" dn="Z_D9B90A86_BE39_4FED_8226_084809D277F3_.wvu.Rows" sId="1"/>
    <rfmt sheetId="1" xfDxf="1" sqref="A448:XFD448" start="0" length="0">
      <dxf>
        <font>
          <i/>
          <name val="Times New Roman"/>
          <scheme val="none"/>
        </font>
        <alignment vertical="center" readingOrder="0"/>
      </dxf>
    </rfmt>
    <rcc rId="0" sId="1" dxf="1">
      <nc r="A448" t="inlineStr">
        <is>
          <t>Мероприятия в области туризма</t>
        </is>
      </nc>
      <ndxf>
        <font>
          <i val="0"/>
          <name val="Times New Roman"/>
          <scheme val="none"/>
        </font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448" t="inlineStr">
        <is>
          <t>12 3 00 80530</t>
        </is>
      </nc>
      <ndxf>
        <font>
          <i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C448" start="0" length="0">
      <dxf>
        <font>
          <i val="0"/>
          <sz val="10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D448">
        <f>D450</f>
      </nc>
      <ndxf>
        <font>
          <i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48">
        <f>E450</f>
      </nc>
      <ndxf>
        <font>
          <i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448">
        <f>F450</f>
      </nc>
      <ndxf>
        <font>
          <i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48" start="0" length="0">
      <dxf>
        <fill>
          <patternFill patternType="solid">
            <bgColor theme="0"/>
          </patternFill>
        </fill>
      </dxf>
    </rfmt>
    <rfmt sheetId="1" sqref="H448" start="0" length="0">
      <dxf>
        <fill>
          <patternFill patternType="solid">
            <bgColor theme="0"/>
          </patternFill>
        </fill>
      </dxf>
    </rfmt>
    <rfmt sheetId="1" sqref="I448" start="0" length="0">
      <dxf>
        <fill>
          <patternFill patternType="solid">
            <bgColor theme="0"/>
          </patternFill>
        </fill>
      </dxf>
    </rfmt>
  </rrc>
  <rrc rId="5203" sId="1" ref="A448:XFD448" action="deleteRow">
    <undo index="32" exp="area" ref3D="1" dr="$A$910:$XFD$912" dn="Z_D9B90A86_BE39_4FED_8226_084809D277F3_.wvu.Rows" sId="1"/>
    <undo index="30" exp="area" ref3D="1" dr="$A$850:$XFD$853" dn="Z_D9B90A86_BE39_4FED_8226_084809D277F3_.wvu.Rows" sId="1"/>
    <undo index="28" exp="area" ref3D="1" dr="$A$816:$XFD$821" dn="Z_D9B90A86_BE39_4FED_8226_084809D277F3_.wvu.Rows" sId="1"/>
    <undo index="26" exp="area" ref3D="1" dr="$A$800:$XFD$803" dn="Z_D9B90A86_BE39_4FED_8226_084809D277F3_.wvu.Rows" sId="1"/>
    <undo index="24" exp="area" ref3D="1" dr="$A$671:$XFD$674" dn="Z_D9B90A86_BE39_4FED_8226_084809D277F3_.wvu.Rows" sId="1"/>
    <undo index="22" exp="area" ref3D="1" dr="$A$546:$XFD$548" dn="Z_D9B90A86_BE39_4FED_8226_084809D277F3_.wvu.Rows" sId="1"/>
    <undo index="20" exp="area" ref3D="1" dr="$A$537:$XFD$540" dn="Z_D9B90A86_BE39_4FED_8226_084809D277F3_.wvu.Rows" sId="1"/>
    <undo index="18" exp="area" ref3D="1" dr="$A$523:$XFD$526" dn="Z_D9B90A86_BE39_4FED_8226_084809D277F3_.wvu.Rows" sId="1"/>
    <undo index="16" exp="area" ref3D="1" dr="$A$448:$XFD$450" dn="Z_D9B90A86_BE39_4FED_8226_084809D277F3_.wvu.Rows" sId="1"/>
    <rfmt sheetId="1" xfDxf="1" sqref="A448:XFD448" start="0" length="0">
      <dxf>
        <font>
          <name val="Times New Roman"/>
          <scheme val="none"/>
        </font>
        <alignment vertical="center" readingOrder="0"/>
      </dxf>
    </rfmt>
    <rcc rId="0" sId="1" dxf="1">
      <nc r="A448" t="inlineStr">
        <is>
          <t>Предоставление субсидий бюджетным, автономным учреждениям и иным некоммерческим организациям</t>
        </is>
      </nc>
      <ndxf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448" t="inlineStr">
        <is>
          <t>12 3 00 80530</t>
        </is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448">
        <v>600</v>
      </nc>
      <n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448">
        <f>D449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48">
        <f>E449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448">
        <f>F449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48" start="0" length="0">
      <dxf>
        <fill>
          <patternFill patternType="solid">
            <bgColor theme="0"/>
          </patternFill>
        </fill>
      </dxf>
    </rfmt>
    <rfmt sheetId="1" sqref="H448" start="0" length="0">
      <dxf>
        <fill>
          <patternFill patternType="solid">
            <bgColor theme="0"/>
          </patternFill>
        </fill>
      </dxf>
    </rfmt>
    <rfmt sheetId="1" sqref="I448" start="0" length="0">
      <dxf>
        <fill>
          <patternFill patternType="solid">
            <bgColor theme="0"/>
          </patternFill>
        </fill>
      </dxf>
    </rfmt>
  </rrc>
  <rrc rId="5204" sId="1" ref="A448:XFD448" action="deleteRow">
    <undo index="32" exp="area" ref3D="1" dr="$A$909:$XFD$911" dn="Z_D9B90A86_BE39_4FED_8226_084809D277F3_.wvu.Rows" sId="1"/>
    <undo index="30" exp="area" ref3D="1" dr="$A$849:$XFD$852" dn="Z_D9B90A86_BE39_4FED_8226_084809D277F3_.wvu.Rows" sId="1"/>
    <undo index="28" exp="area" ref3D="1" dr="$A$815:$XFD$820" dn="Z_D9B90A86_BE39_4FED_8226_084809D277F3_.wvu.Rows" sId="1"/>
    <undo index="26" exp="area" ref3D="1" dr="$A$799:$XFD$802" dn="Z_D9B90A86_BE39_4FED_8226_084809D277F3_.wvu.Rows" sId="1"/>
    <undo index="24" exp="area" ref3D="1" dr="$A$670:$XFD$673" dn="Z_D9B90A86_BE39_4FED_8226_084809D277F3_.wvu.Rows" sId="1"/>
    <undo index="22" exp="area" ref3D="1" dr="$A$545:$XFD$547" dn="Z_D9B90A86_BE39_4FED_8226_084809D277F3_.wvu.Rows" sId="1"/>
    <undo index="20" exp="area" ref3D="1" dr="$A$536:$XFD$539" dn="Z_D9B90A86_BE39_4FED_8226_084809D277F3_.wvu.Rows" sId="1"/>
    <undo index="18" exp="area" ref3D="1" dr="$A$522:$XFD$525" dn="Z_D9B90A86_BE39_4FED_8226_084809D277F3_.wvu.Rows" sId="1"/>
    <undo index="16" exp="area" ref3D="1" dr="$A$448:$XFD$449" dn="Z_D9B90A86_BE39_4FED_8226_084809D277F3_.wvu.Rows" sId="1"/>
    <rfmt sheetId="1" xfDxf="1" sqref="A448:XFD448" start="0" length="0">
      <dxf>
        <font>
          <name val="Times New Roman"/>
          <scheme val="none"/>
        </font>
        <alignment vertical="center" readingOrder="0"/>
      </dxf>
    </rfmt>
    <rcc rId="0" sId="1" dxf="1">
      <nc r="A448" t="inlineStr">
        <is>
          <t>Субсидии бюджетным учреждениям</t>
        </is>
      </nc>
      <ndxf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448" t="inlineStr">
        <is>
          <t>12 3 00 80530</t>
        </is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448">
        <v>610</v>
      </nc>
      <n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448">
        <f>D449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48">
        <f>E449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448">
        <f>F449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48" start="0" length="0">
      <dxf>
        <fill>
          <patternFill patternType="solid">
            <bgColor theme="0"/>
          </patternFill>
        </fill>
      </dxf>
    </rfmt>
    <rfmt sheetId="1" sqref="H448" start="0" length="0">
      <dxf>
        <fill>
          <patternFill patternType="solid">
            <bgColor theme="0"/>
          </patternFill>
        </fill>
      </dxf>
    </rfmt>
    <rfmt sheetId="1" sqref="I448" start="0" length="0">
      <dxf>
        <fill>
          <patternFill patternType="solid">
            <bgColor theme="0"/>
          </patternFill>
        </fill>
      </dxf>
    </rfmt>
  </rrc>
  <rrc rId="5205" sId="1" ref="A448:XFD448" action="deleteRow">
    <undo index="32" exp="area" ref3D="1" dr="$A$908:$XFD$910" dn="Z_D9B90A86_BE39_4FED_8226_084809D277F3_.wvu.Rows" sId="1"/>
    <undo index="30" exp="area" ref3D="1" dr="$A$848:$XFD$851" dn="Z_D9B90A86_BE39_4FED_8226_084809D277F3_.wvu.Rows" sId="1"/>
    <undo index="28" exp="area" ref3D="1" dr="$A$814:$XFD$819" dn="Z_D9B90A86_BE39_4FED_8226_084809D277F3_.wvu.Rows" sId="1"/>
    <undo index="26" exp="area" ref3D="1" dr="$A$798:$XFD$801" dn="Z_D9B90A86_BE39_4FED_8226_084809D277F3_.wvu.Rows" sId="1"/>
    <undo index="24" exp="area" ref3D="1" dr="$A$669:$XFD$672" dn="Z_D9B90A86_BE39_4FED_8226_084809D277F3_.wvu.Rows" sId="1"/>
    <undo index="22" exp="area" ref3D="1" dr="$A$544:$XFD$546" dn="Z_D9B90A86_BE39_4FED_8226_084809D277F3_.wvu.Rows" sId="1"/>
    <undo index="20" exp="area" ref3D="1" dr="$A$535:$XFD$538" dn="Z_D9B90A86_BE39_4FED_8226_084809D277F3_.wvu.Rows" sId="1"/>
    <undo index="18" exp="area" ref3D="1" dr="$A$521:$XFD$524" dn="Z_D9B90A86_BE39_4FED_8226_084809D277F3_.wvu.Rows" sId="1"/>
    <undo index="16" exp="area" ref3D="1" dr="$A$448:$XFD$448" dn="Z_D9B90A86_BE39_4FED_8226_084809D277F3_.wvu.Rows" sId="1"/>
    <rfmt sheetId="1" xfDxf="1" sqref="A448:XFD448" start="0" length="0">
      <dxf>
        <font>
          <name val="Times New Roman"/>
          <scheme val="none"/>
        </font>
        <alignment vertical="center" readingOrder="0"/>
      </dxf>
    </rfmt>
    <rcc rId="0" sId="1" dxf="1">
      <nc r="A448" t="inlineStr">
        <is>
          <t>Субсидии бюджетным учреждениям на  иные цели</t>
        </is>
      </nc>
      <ndxf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B448" t="inlineStr">
        <is>
          <t>12 3 00 80530</t>
        </is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C448">
        <v>612</v>
      </nc>
      <n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D448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48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F448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448" start="0" length="0">
      <dxf>
        <fill>
          <patternFill patternType="solid">
            <bgColor theme="0"/>
          </patternFill>
        </fill>
      </dxf>
    </rfmt>
    <rfmt sheetId="1" sqref="H448" start="0" length="0">
      <dxf>
        <fill>
          <patternFill patternType="solid">
            <bgColor theme="0"/>
          </patternFill>
        </fill>
      </dxf>
    </rfmt>
    <rfmt sheetId="1" sqref="I448" start="0" length="0">
      <dxf>
        <fill>
          <patternFill patternType="solid">
            <bgColor theme="0"/>
          </patternFill>
        </fill>
      </dxf>
    </rfmt>
  </rrc>
  <rcc rId="5206" sId="1">
    <oc r="D404">
      <f>D405+D423+#REF!+D448</f>
    </oc>
    <nc r="D404">
      <f>D405+D423+D448</f>
    </nc>
  </rcc>
  <rcc rId="5207" sId="1">
    <oc r="E404">
      <f>E405+E423+#REF!+E448</f>
    </oc>
    <nc r="E404">
      <f>E405+E423+E448</f>
    </nc>
  </rcc>
  <rcc rId="5208" sId="1">
    <oc r="F404">
      <f>F405+F423+#REF!+F448</f>
    </oc>
    <nc r="F404">
      <f>F405+F423+F448</f>
    </nc>
  </rcc>
  <rrc rId="5209" sId="1" ref="A520:XFD520" action="deleteRow">
    <undo index="0" exp="ref" v="1" dr="F520" r="F519" sId="1"/>
    <undo index="0" exp="ref" v="1" dr="E520" r="E519" sId="1"/>
    <undo index="0" exp="ref" v="1" dr="D520" r="D519" sId="1"/>
    <undo index="32" exp="area" ref3D="1" dr="$A$907:$XFD$909" dn="Z_D9B90A86_BE39_4FED_8226_084809D277F3_.wvu.Rows" sId="1"/>
    <undo index="30" exp="area" ref3D="1" dr="$A$847:$XFD$850" dn="Z_D9B90A86_BE39_4FED_8226_084809D277F3_.wvu.Rows" sId="1"/>
    <undo index="28" exp="area" ref3D="1" dr="$A$813:$XFD$818" dn="Z_D9B90A86_BE39_4FED_8226_084809D277F3_.wvu.Rows" sId="1"/>
    <undo index="26" exp="area" ref3D="1" dr="$A$797:$XFD$800" dn="Z_D9B90A86_BE39_4FED_8226_084809D277F3_.wvu.Rows" sId="1"/>
    <undo index="24" exp="area" ref3D="1" dr="$A$668:$XFD$671" dn="Z_D9B90A86_BE39_4FED_8226_084809D277F3_.wvu.Rows" sId="1"/>
    <undo index="22" exp="area" ref3D="1" dr="$A$543:$XFD$545" dn="Z_D9B90A86_BE39_4FED_8226_084809D277F3_.wvu.Rows" sId="1"/>
    <undo index="20" exp="area" ref3D="1" dr="$A$534:$XFD$537" dn="Z_D9B90A86_BE39_4FED_8226_084809D277F3_.wvu.Rows" sId="1"/>
    <undo index="18" exp="area" ref3D="1" dr="$A$520:$XFD$523" dn="Z_D9B90A86_BE39_4FED_8226_084809D277F3_.wvu.Rows" sId="1"/>
    <rfmt sheetId="1" xfDxf="1" sqref="A520:XFD520" start="0" length="0">
      <dxf>
        <font>
          <name val="Times New Roman"/>
          <scheme val="none"/>
        </font>
        <alignment vertical="center" readingOrder="0"/>
      </dxf>
    </rfmt>
    <rcc rId="0" sId="1" dxf="1">
      <nc r="A520" t="inlineStr">
        <is>
          <t>Поддержка государственных программ  формирования современной городской среды</t>
        </is>
      </nc>
      <ndxf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520" t="inlineStr">
        <is>
          <t>17 0 F2 55550</t>
        </is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="1" sqref="C520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D520">
        <f>D521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20">
        <f>E521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520">
        <f>F521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20" start="0" length="0">
      <dxf>
        <fill>
          <patternFill patternType="solid">
            <bgColor theme="0"/>
          </patternFill>
        </fill>
      </dxf>
    </rfmt>
    <rfmt sheetId="1" sqref="H520" start="0" length="0">
      <dxf>
        <fill>
          <patternFill patternType="solid">
            <bgColor theme="0"/>
          </patternFill>
        </fill>
      </dxf>
    </rfmt>
    <rfmt sheetId="1" sqref="I520" start="0" length="0">
      <dxf>
        <fill>
          <patternFill patternType="solid">
            <bgColor theme="0"/>
          </patternFill>
        </fill>
      </dxf>
    </rfmt>
  </rrc>
  <rrc rId="5210" sId="1" ref="A520:XFD520" action="deleteRow">
    <undo index="32" exp="area" ref3D="1" dr="$A$906:$XFD$908" dn="Z_D9B90A86_BE39_4FED_8226_084809D277F3_.wvu.Rows" sId="1"/>
    <undo index="30" exp="area" ref3D="1" dr="$A$846:$XFD$849" dn="Z_D9B90A86_BE39_4FED_8226_084809D277F3_.wvu.Rows" sId="1"/>
    <undo index="28" exp="area" ref3D="1" dr="$A$812:$XFD$817" dn="Z_D9B90A86_BE39_4FED_8226_084809D277F3_.wvu.Rows" sId="1"/>
    <undo index="26" exp="area" ref3D="1" dr="$A$796:$XFD$799" dn="Z_D9B90A86_BE39_4FED_8226_084809D277F3_.wvu.Rows" sId="1"/>
    <undo index="24" exp="area" ref3D="1" dr="$A$667:$XFD$670" dn="Z_D9B90A86_BE39_4FED_8226_084809D277F3_.wvu.Rows" sId="1"/>
    <undo index="22" exp="area" ref3D="1" dr="$A$542:$XFD$544" dn="Z_D9B90A86_BE39_4FED_8226_084809D277F3_.wvu.Rows" sId="1"/>
    <undo index="20" exp="area" ref3D="1" dr="$A$533:$XFD$536" dn="Z_D9B90A86_BE39_4FED_8226_084809D277F3_.wvu.Rows" sId="1"/>
    <undo index="18" exp="area" ref3D="1" dr="$A$520:$XFD$522" dn="Z_D9B90A86_BE39_4FED_8226_084809D277F3_.wvu.Rows" sId="1"/>
    <rfmt sheetId="1" xfDxf="1" sqref="A520:XFD520" start="0" length="0">
      <dxf>
        <font>
          <name val="Times New Roman"/>
          <scheme val="none"/>
        </font>
        <alignment vertical="center" readingOrder="0"/>
      </dxf>
    </rfmt>
    <rcc rId="0" sId="1" dxf="1">
      <nc r="A520" t="inlineStr">
        <is>
          <t>Закупка товаров, работ и услуг для обеспечения государственных (муниципальных) нужд</t>
        </is>
      </nc>
      <ndxf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520" t="inlineStr">
        <is>
          <t>17 0 F2 55550</t>
        </is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C520">
        <v>200</v>
      </nc>
      <n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520">
        <f>D521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20">
        <f>E521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520">
        <f>F521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20" start="0" length="0">
      <dxf>
        <fill>
          <patternFill patternType="solid">
            <bgColor theme="0"/>
          </patternFill>
        </fill>
      </dxf>
    </rfmt>
    <rfmt sheetId="1" sqref="H520" start="0" length="0">
      <dxf>
        <fill>
          <patternFill patternType="solid">
            <bgColor theme="0"/>
          </patternFill>
        </fill>
      </dxf>
    </rfmt>
    <rfmt sheetId="1" sqref="I520" start="0" length="0">
      <dxf>
        <fill>
          <patternFill patternType="solid">
            <bgColor theme="0"/>
          </patternFill>
        </fill>
      </dxf>
    </rfmt>
  </rrc>
  <rrc rId="5211" sId="1" ref="A520:XFD520" action="deleteRow">
    <undo index="32" exp="area" ref3D="1" dr="$A$905:$XFD$907" dn="Z_D9B90A86_BE39_4FED_8226_084809D277F3_.wvu.Rows" sId="1"/>
    <undo index="30" exp="area" ref3D="1" dr="$A$845:$XFD$848" dn="Z_D9B90A86_BE39_4FED_8226_084809D277F3_.wvu.Rows" sId="1"/>
    <undo index="28" exp="area" ref3D="1" dr="$A$811:$XFD$816" dn="Z_D9B90A86_BE39_4FED_8226_084809D277F3_.wvu.Rows" sId="1"/>
    <undo index="26" exp="area" ref3D="1" dr="$A$795:$XFD$798" dn="Z_D9B90A86_BE39_4FED_8226_084809D277F3_.wvu.Rows" sId="1"/>
    <undo index="24" exp="area" ref3D="1" dr="$A$666:$XFD$669" dn="Z_D9B90A86_BE39_4FED_8226_084809D277F3_.wvu.Rows" sId="1"/>
    <undo index="22" exp="area" ref3D="1" dr="$A$541:$XFD$543" dn="Z_D9B90A86_BE39_4FED_8226_084809D277F3_.wvu.Rows" sId="1"/>
    <undo index="20" exp="area" ref3D="1" dr="$A$532:$XFD$535" dn="Z_D9B90A86_BE39_4FED_8226_084809D277F3_.wvu.Rows" sId="1"/>
    <undo index="18" exp="area" ref3D="1" dr="$A$520:$XFD$521" dn="Z_D9B90A86_BE39_4FED_8226_084809D277F3_.wvu.Rows" sId="1"/>
    <rfmt sheetId="1" xfDxf="1" sqref="A520:XFD520" start="0" length="0">
      <dxf>
        <font>
          <name val="Times New Roman"/>
          <scheme val="none"/>
        </font>
        <alignment vertical="center" readingOrder="0"/>
      </dxf>
    </rfmt>
    <rcc rId="0" sId="1" dxf="1">
      <nc r="A520" t="inlineStr">
        <is>
          <t>Иные закупки товаров,работ и услуг для обеспечения государственных (муниципальных) нужд</t>
        </is>
      </nc>
      <ndxf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520" t="inlineStr">
        <is>
          <t>17 0 F2 55550</t>
        </is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C520">
        <v>240</v>
      </nc>
      <n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520">
        <f>D521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20">
        <f>E521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520">
        <f>F521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20" start="0" length="0">
      <dxf>
        <fill>
          <patternFill patternType="solid">
            <bgColor theme="0"/>
          </patternFill>
        </fill>
      </dxf>
    </rfmt>
    <rfmt sheetId="1" sqref="H520" start="0" length="0">
      <dxf>
        <fill>
          <patternFill patternType="solid">
            <bgColor theme="0"/>
          </patternFill>
        </fill>
      </dxf>
    </rfmt>
    <rfmt sheetId="1" sqref="I520" start="0" length="0">
      <dxf>
        <fill>
          <patternFill patternType="solid">
            <bgColor theme="0"/>
          </patternFill>
        </fill>
      </dxf>
    </rfmt>
  </rrc>
  <rrc rId="5212" sId="1" ref="A520:XFD520" action="deleteRow">
    <undo index="32" exp="area" ref3D="1" dr="$A$904:$XFD$906" dn="Z_D9B90A86_BE39_4FED_8226_084809D277F3_.wvu.Rows" sId="1"/>
    <undo index="30" exp="area" ref3D="1" dr="$A$844:$XFD$847" dn="Z_D9B90A86_BE39_4FED_8226_084809D277F3_.wvu.Rows" sId="1"/>
    <undo index="28" exp="area" ref3D="1" dr="$A$810:$XFD$815" dn="Z_D9B90A86_BE39_4FED_8226_084809D277F3_.wvu.Rows" sId="1"/>
    <undo index="26" exp="area" ref3D="1" dr="$A$794:$XFD$797" dn="Z_D9B90A86_BE39_4FED_8226_084809D277F3_.wvu.Rows" sId="1"/>
    <undo index="24" exp="area" ref3D="1" dr="$A$665:$XFD$668" dn="Z_D9B90A86_BE39_4FED_8226_084809D277F3_.wvu.Rows" sId="1"/>
    <undo index="22" exp="area" ref3D="1" dr="$A$540:$XFD$542" dn="Z_D9B90A86_BE39_4FED_8226_084809D277F3_.wvu.Rows" sId="1"/>
    <undo index="20" exp="area" ref3D="1" dr="$A$531:$XFD$534" dn="Z_D9B90A86_BE39_4FED_8226_084809D277F3_.wvu.Rows" sId="1"/>
    <undo index="18" exp="area" ref3D="1" dr="$A$520:$XFD$520" dn="Z_D9B90A86_BE39_4FED_8226_084809D277F3_.wvu.Rows" sId="1"/>
    <rfmt sheetId="1" xfDxf="1" sqref="A520:XFD520" start="0" length="0">
      <dxf>
        <font>
          <name val="Times New Roman"/>
          <scheme val="none"/>
        </font>
        <alignment vertical="center" readingOrder="0"/>
      </dxf>
    </rfmt>
    <rcc rId="0" sId="1" dxf="1">
      <nc r="A520" t="inlineStr">
        <is>
          <t xml:space="preserve">Прочая закупка товаров, работ и услуг </t>
        </is>
      </nc>
      <ndxf>
        <fill>
          <patternFill patternType="solid">
            <bgColor theme="0"/>
          </patternFill>
        </fill>
        <alignment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520" t="inlineStr">
        <is>
          <t>17 0 F2 55550</t>
        </is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C520">
        <v>244</v>
      </nc>
      <n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D520" start="0" length="0">
      <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520" start="0" length="0">
      <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520" start="0" length="0">
      <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20" start="0" length="0">
      <dxf>
        <fill>
          <patternFill patternType="solid">
            <bgColor theme="0"/>
          </patternFill>
        </fill>
      </dxf>
    </rfmt>
    <rfmt sheetId="1" sqref="H520" start="0" length="0">
      <dxf>
        <fill>
          <patternFill patternType="solid">
            <bgColor theme="0"/>
          </patternFill>
        </fill>
      </dxf>
    </rfmt>
    <rfmt sheetId="1" sqref="I520" start="0" length="0">
      <dxf>
        <fill>
          <patternFill patternType="solid">
            <bgColor theme="0"/>
          </patternFill>
        </fill>
      </dxf>
    </rfmt>
  </rrc>
  <rcc rId="5213" sId="1">
    <oc r="D519">
      <f>#REF!+D520</f>
    </oc>
    <nc r="D519">
      <f>D520</f>
    </nc>
  </rcc>
  <rcc rId="5214" sId="1">
    <oc r="E519">
      <f>#REF!+E520</f>
    </oc>
    <nc r="E519">
      <f>E520</f>
    </nc>
  </rcc>
  <rcc rId="5215" sId="1">
    <oc r="F519">
      <f>#REF!+F520</f>
    </oc>
    <nc r="F519">
      <f>F520</f>
    </nc>
  </rcc>
  <rrc rId="5216" sId="1" ref="A530:XFD530" action="deleteRow">
    <undo index="0" exp="ref" v="1" dr="F530" r="F529" sId="1"/>
    <undo index="0" exp="ref" v="1" dr="E530" r="E529" sId="1"/>
    <undo index="0" exp="ref" v="1" dr="D530" r="D529" sId="1"/>
    <undo index="32" exp="area" ref3D="1" dr="$A$903:$XFD$905" dn="Z_D9B90A86_BE39_4FED_8226_084809D277F3_.wvu.Rows" sId="1"/>
    <undo index="30" exp="area" ref3D="1" dr="$A$843:$XFD$846" dn="Z_D9B90A86_BE39_4FED_8226_084809D277F3_.wvu.Rows" sId="1"/>
    <undo index="28" exp="area" ref3D="1" dr="$A$809:$XFD$814" dn="Z_D9B90A86_BE39_4FED_8226_084809D277F3_.wvu.Rows" sId="1"/>
    <undo index="26" exp="area" ref3D="1" dr="$A$793:$XFD$796" dn="Z_D9B90A86_BE39_4FED_8226_084809D277F3_.wvu.Rows" sId="1"/>
    <undo index="24" exp="area" ref3D="1" dr="$A$664:$XFD$667" dn="Z_D9B90A86_BE39_4FED_8226_084809D277F3_.wvu.Rows" sId="1"/>
    <undo index="22" exp="area" ref3D="1" dr="$A$539:$XFD$541" dn="Z_D9B90A86_BE39_4FED_8226_084809D277F3_.wvu.Rows" sId="1"/>
    <undo index="20" exp="area" ref3D="1" dr="$A$530:$XFD$533" dn="Z_D9B90A86_BE39_4FED_8226_084809D277F3_.wvu.Rows" sId="1"/>
    <rfmt sheetId="1" xfDxf="1" sqref="A530:XFD530" start="0" length="0">
      <dxf>
        <font>
          <name val="Times New Roman"/>
          <scheme val="none"/>
        </font>
        <alignment vertical="center" readingOrder="0"/>
      </dxf>
    </rfmt>
    <rcc rId="0" sId="1" dxf="1">
      <nc r="A530" t="inlineStr">
        <is>
          <t>Строительство и реконструкция (модернизация) объектов питьевого водоснабжения</t>
        </is>
      </nc>
      <ndxf>
        <font>
          <name val="Times New Roman Cyr"/>
          <scheme val="none"/>
        </font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530" t="inlineStr">
        <is>
          <t>18 0 F5 52430</t>
        </is>
      </nc>
      <ndxf>
        <fill>
          <patternFill patternType="solid">
            <bgColor theme="0"/>
          </patternFill>
        </fill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ndxf>
    </rcc>
    <rfmt sheetId="1" sqref="C530" start="0" length="0">
      <dxf>
        <font>
          <name val="Times New Roman Cyr"/>
          <scheme val="none"/>
        </font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s="1" dxf="1">
      <nc r="D530">
        <f>D531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30">
        <f>E531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530">
        <f>F531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30" start="0" length="0">
      <dxf>
        <fill>
          <patternFill patternType="solid">
            <bgColor theme="0"/>
          </patternFill>
        </fill>
      </dxf>
    </rfmt>
    <rfmt sheetId="1" sqref="H530" start="0" length="0">
      <dxf>
        <fill>
          <patternFill patternType="solid">
            <bgColor theme="0"/>
          </patternFill>
        </fill>
      </dxf>
    </rfmt>
    <rfmt sheetId="1" sqref="I530" start="0" length="0">
      <dxf>
        <fill>
          <patternFill patternType="solid">
            <bgColor theme="0"/>
          </patternFill>
        </fill>
      </dxf>
    </rfmt>
  </rrc>
  <rrc rId="5217" sId="1" ref="A530:XFD530" action="deleteRow">
    <undo index="32" exp="area" ref3D="1" dr="$A$902:$XFD$904" dn="Z_D9B90A86_BE39_4FED_8226_084809D277F3_.wvu.Rows" sId="1"/>
    <undo index="30" exp="area" ref3D="1" dr="$A$842:$XFD$845" dn="Z_D9B90A86_BE39_4FED_8226_084809D277F3_.wvu.Rows" sId="1"/>
    <undo index="28" exp="area" ref3D="1" dr="$A$808:$XFD$813" dn="Z_D9B90A86_BE39_4FED_8226_084809D277F3_.wvu.Rows" sId="1"/>
    <undo index="26" exp="area" ref3D="1" dr="$A$792:$XFD$795" dn="Z_D9B90A86_BE39_4FED_8226_084809D277F3_.wvu.Rows" sId="1"/>
    <undo index="24" exp="area" ref3D="1" dr="$A$663:$XFD$666" dn="Z_D9B90A86_BE39_4FED_8226_084809D277F3_.wvu.Rows" sId="1"/>
    <undo index="22" exp="area" ref3D="1" dr="$A$538:$XFD$540" dn="Z_D9B90A86_BE39_4FED_8226_084809D277F3_.wvu.Rows" sId="1"/>
    <undo index="20" exp="area" ref3D="1" dr="$A$530:$XFD$532" dn="Z_D9B90A86_BE39_4FED_8226_084809D277F3_.wvu.Rows" sId="1"/>
    <rfmt sheetId="1" xfDxf="1" sqref="A530:XFD530" start="0" length="0">
      <dxf>
        <font>
          <name val="Times New Roman"/>
          <scheme val="none"/>
        </font>
        <alignment vertical="center" readingOrder="0"/>
      </dxf>
    </rfmt>
    <rcc rId="0" sId="1" dxf="1">
      <nc r="A530" t="inlineStr">
        <is>
          <t>Капитальные вложения в объекты государственной (муниципальной) собственности</t>
        </is>
      </nc>
      <ndxf>
        <font>
          <name val="Times New Roman Cyr"/>
          <scheme val="none"/>
        </font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530" t="inlineStr">
        <is>
          <t>18 0 F5 52430</t>
        </is>
      </nc>
      <ndxf>
        <fill>
          <patternFill patternType="solid">
            <bgColor theme="0"/>
          </patternFill>
        </fill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C530">
        <v>400</v>
      </nc>
      <ndxf>
        <font>
          <name val="Times New Roman Cyr"/>
          <scheme val="none"/>
        </font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D530">
        <f>D531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30">
        <f>E531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530">
        <f>F531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30" start="0" length="0">
      <dxf>
        <fill>
          <patternFill patternType="solid">
            <bgColor theme="0"/>
          </patternFill>
        </fill>
      </dxf>
    </rfmt>
    <rfmt sheetId="1" sqref="H530" start="0" length="0">
      <dxf>
        <fill>
          <patternFill patternType="solid">
            <bgColor theme="0"/>
          </patternFill>
        </fill>
      </dxf>
    </rfmt>
    <rfmt sheetId="1" sqref="I530" start="0" length="0">
      <dxf>
        <fill>
          <patternFill patternType="solid">
            <bgColor theme="0"/>
          </patternFill>
        </fill>
      </dxf>
    </rfmt>
  </rrc>
  <rrc rId="5218" sId="1" ref="A530:XFD530" action="deleteRow">
    <undo index="32" exp="area" ref3D="1" dr="$A$901:$XFD$903" dn="Z_D9B90A86_BE39_4FED_8226_084809D277F3_.wvu.Rows" sId="1"/>
    <undo index="30" exp="area" ref3D="1" dr="$A$841:$XFD$844" dn="Z_D9B90A86_BE39_4FED_8226_084809D277F3_.wvu.Rows" sId="1"/>
    <undo index="28" exp="area" ref3D="1" dr="$A$807:$XFD$812" dn="Z_D9B90A86_BE39_4FED_8226_084809D277F3_.wvu.Rows" sId="1"/>
    <undo index="26" exp="area" ref3D="1" dr="$A$791:$XFD$794" dn="Z_D9B90A86_BE39_4FED_8226_084809D277F3_.wvu.Rows" sId="1"/>
    <undo index="24" exp="area" ref3D="1" dr="$A$662:$XFD$665" dn="Z_D9B90A86_BE39_4FED_8226_084809D277F3_.wvu.Rows" sId="1"/>
    <undo index="22" exp="area" ref3D="1" dr="$A$537:$XFD$539" dn="Z_D9B90A86_BE39_4FED_8226_084809D277F3_.wvu.Rows" sId="1"/>
    <undo index="20" exp="area" ref3D="1" dr="$A$530:$XFD$531" dn="Z_D9B90A86_BE39_4FED_8226_084809D277F3_.wvu.Rows" sId="1"/>
    <rfmt sheetId="1" xfDxf="1" sqref="A530:XFD530" start="0" length="0">
      <dxf>
        <font>
          <name val="Times New Roman"/>
          <scheme val="none"/>
        </font>
        <alignment vertical="center" readingOrder="0"/>
      </dxf>
    </rfmt>
    <rcc rId="0" sId="1" dxf="1">
      <nc r="A530" t="inlineStr">
        <is>
          <t>Бюджетные инвестиции</t>
        </is>
      </nc>
      <ndxf>
        <font>
          <name val="Times New Roman Cyr"/>
          <scheme val="none"/>
        </font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530" t="inlineStr">
        <is>
          <t>18 0 F5 52430</t>
        </is>
      </nc>
      <ndxf>
        <fill>
          <patternFill patternType="solid">
            <bgColor theme="0"/>
          </patternFill>
        </fill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C530">
        <v>410</v>
      </nc>
      <ndxf>
        <font>
          <name val="Times New Roman Cyr"/>
          <scheme val="none"/>
        </font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D530">
        <f>D531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30">
        <f>E531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530">
        <f>F531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30" start="0" length="0">
      <dxf>
        <fill>
          <patternFill patternType="solid">
            <bgColor theme="0"/>
          </patternFill>
        </fill>
      </dxf>
    </rfmt>
    <rfmt sheetId="1" sqref="H530" start="0" length="0">
      <dxf>
        <fill>
          <patternFill patternType="solid">
            <bgColor theme="0"/>
          </patternFill>
        </fill>
      </dxf>
    </rfmt>
    <rfmt sheetId="1" sqref="I530" start="0" length="0">
      <dxf>
        <fill>
          <patternFill patternType="solid">
            <bgColor theme="0"/>
          </patternFill>
        </fill>
      </dxf>
    </rfmt>
  </rrc>
  <rrc rId="5219" sId="1" ref="A530:XFD530" action="deleteRow">
    <undo index="32" exp="area" ref3D="1" dr="$A$900:$XFD$902" dn="Z_D9B90A86_BE39_4FED_8226_084809D277F3_.wvu.Rows" sId="1"/>
    <undo index="30" exp="area" ref3D="1" dr="$A$840:$XFD$843" dn="Z_D9B90A86_BE39_4FED_8226_084809D277F3_.wvu.Rows" sId="1"/>
    <undo index="28" exp="area" ref3D="1" dr="$A$806:$XFD$811" dn="Z_D9B90A86_BE39_4FED_8226_084809D277F3_.wvu.Rows" sId="1"/>
    <undo index="26" exp="area" ref3D="1" dr="$A$790:$XFD$793" dn="Z_D9B90A86_BE39_4FED_8226_084809D277F3_.wvu.Rows" sId="1"/>
    <undo index="24" exp="area" ref3D="1" dr="$A$661:$XFD$664" dn="Z_D9B90A86_BE39_4FED_8226_084809D277F3_.wvu.Rows" sId="1"/>
    <undo index="22" exp="area" ref3D="1" dr="$A$536:$XFD$538" dn="Z_D9B90A86_BE39_4FED_8226_084809D277F3_.wvu.Rows" sId="1"/>
    <undo index="20" exp="area" ref3D="1" dr="$A$530:$XFD$530" dn="Z_D9B90A86_BE39_4FED_8226_084809D277F3_.wvu.Rows" sId="1"/>
    <rfmt sheetId="1" xfDxf="1" sqref="A530:XFD530" start="0" length="0">
      <dxf>
        <font>
          <name val="Times New Roman"/>
          <scheme val="none"/>
        </font>
        <alignment vertical="center" readingOrder="0"/>
      </dxf>
    </rfmt>
    <rcc rId="0" sId="1" dxf="1">
      <nc r="A530" t="inlineStr">
        <is>
          <t>Бюджетные инвестиции в объекты капитального строительства государственной (муниципальной) собственности</t>
        </is>
      </nc>
      <ndxf>
        <font>
          <name val="Times New Roman Cyr"/>
          <scheme val="none"/>
        </font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530" t="inlineStr">
        <is>
          <t>18 0 F5 52430</t>
        </is>
      </nc>
      <ndxf>
        <fill>
          <patternFill patternType="solid">
            <bgColor theme="0"/>
          </patternFill>
        </fill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C530">
        <v>414</v>
      </nc>
      <ndxf>
        <font>
          <name val="Times New Roman Cyr"/>
          <scheme val="none"/>
        </font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="1" sqref="D530" start="0" length="0">
      <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530" start="0" length="0">
      <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530" start="0" length="0">
      <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530" start="0" length="0">
      <dxf>
        <fill>
          <patternFill patternType="solid">
            <bgColor theme="0"/>
          </patternFill>
        </fill>
      </dxf>
    </rfmt>
    <rfmt sheetId="1" sqref="H530" start="0" length="0">
      <dxf>
        <fill>
          <patternFill patternType="solid">
            <bgColor theme="0"/>
          </patternFill>
        </fill>
      </dxf>
    </rfmt>
    <rfmt sheetId="1" sqref="I530" start="0" length="0">
      <dxf>
        <fill>
          <patternFill patternType="solid">
            <bgColor theme="0"/>
          </patternFill>
        </fill>
      </dxf>
    </rfmt>
  </rrc>
  <rrc rId="5220" sId="1" ref="A535:XFD535" action="deleteRow">
    <undo index="1" exp="ref" v="1" dr="F535" r="F534" sId="1"/>
    <undo index="1" exp="ref" v="1" dr="E535" r="E534" sId="1"/>
    <undo index="1" exp="ref" v="1" dr="D535" r="D534" sId="1"/>
    <undo index="32" exp="area" ref3D="1" dr="$A$899:$XFD$901" dn="Z_D9B90A86_BE39_4FED_8226_084809D277F3_.wvu.Rows" sId="1"/>
    <undo index="30" exp="area" ref3D="1" dr="$A$839:$XFD$842" dn="Z_D9B90A86_BE39_4FED_8226_084809D277F3_.wvu.Rows" sId="1"/>
    <undo index="28" exp="area" ref3D="1" dr="$A$805:$XFD$810" dn="Z_D9B90A86_BE39_4FED_8226_084809D277F3_.wvu.Rows" sId="1"/>
    <undo index="26" exp="area" ref3D="1" dr="$A$789:$XFD$792" dn="Z_D9B90A86_BE39_4FED_8226_084809D277F3_.wvu.Rows" sId="1"/>
    <undo index="24" exp="area" ref3D="1" dr="$A$660:$XFD$663" dn="Z_D9B90A86_BE39_4FED_8226_084809D277F3_.wvu.Rows" sId="1"/>
    <undo index="22" exp="area" ref3D="1" dr="$A$535:$XFD$537" dn="Z_D9B90A86_BE39_4FED_8226_084809D277F3_.wvu.Rows" sId="1"/>
    <rfmt sheetId="1" xfDxf="1" sqref="A535:XFD535" start="0" length="0">
      <dxf>
        <font>
          <name val="Times New Roman"/>
          <scheme val="none"/>
        </font>
        <alignment vertical="center" readingOrder="0"/>
      </dxf>
    </rfmt>
    <rcc rId="0" sId="1" dxf="1">
      <nc r="A535" t="inlineStr">
        <is>
          <t>Закупка товаров, работ и услуг для обеспечения государственных (муниципальных) нужд</t>
        </is>
      </nc>
      <ndxf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535" t="inlineStr">
        <is>
          <t>18 0 00 83610</t>
        </is>
      </nc>
      <ndxf>
        <fill>
          <patternFill patternType="solid">
            <bgColor theme="0"/>
          </patternFill>
        </fill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C535">
        <v>200</v>
      </nc>
      <ndxf>
        <font>
          <name val="Times New Roman Cyr"/>
          <scheme val="none"/>
        </font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D535">
        <f>D536</f>
      </nc>
      <ndxf>
        <numFmt numFmtId="167" formatCode="_(* #,##0.00_);_(* \(#,##0.00\);_(* &quot;-&quot;??_);_(@_)"/>
        <fill>
          <patternFill patternType="solid">
            <bgColor theme="0"/>
          </patternFill>
        </fill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35">
        <f>E536</f>
      </nc>
      <ndxf>
        <numFmt numFmtId="167" formatCode="_(* #,##0.00_);_(* \(#,##0.00\);_(* &quot;-&quot;??_);_(@_)"/>
        <fill>
          <patternFill patternType="solid">
            <bgColor theme="0"/>
          </patternFill>
        </fill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535">
        <f>F536</f>
      </nc>
      <ndxf>
        <numFmt numFmtId="167" formatCode="_(* #,##0.00_);_(* \(#,##0.00\);_(* &quot;-&quot;??_);_(@_)"/>
        <fill>
          <patternFill patternType="solid">
            <bgColor theme="0"/>
          </patternFill>
        </fill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35" start="0" length="0">
      <dxf>
        <fill>
          <patternFill patternType="solid">
            <bgColor theme="0"/>
          </patternFill>
        </fill>
      </dxf>
    </rfmt>
    <rfmt sheetId="1" sqref="H535" start="0" length="0">
      <dxf>
        <fill>
          <patternFill patternType="solid">
            <bgColor theme="0"/>
          </patternFill>
        </fill>
      </dxf>
    </rfmt>
    <rfmt sheetId="1" sqref="I535" start="0" length="0">
      <dxf>
        <fill>
          <patternFill patternType="solid">
            <bgColor theme="0"/>
          </patternFill>
        </fill>
      </dxf>
    </rfmt>
  </rrc>
  <rrc rId="5221" sId="1" ref="A535:XFD535" action="deleteRow">
    <undo index="32" exp="area" ref3D="1" dr="$A$898:$XFD$900" dn="Z_D9B90A86_BE39_4FED_8226_084809D277F3_.wvu.Rows" sId="1"/>
    <undo index="30" exp="area" ref3D="1" dr="$A$838:$XFD$841" dn="Z_D9B90A86_BE39_4FED_8226_084809D277F3_.wvu.Rows" sId="1"/>
    <undo index="28" exp="area" ref3D="1" dr="$A$804:$XFD$809" dn="Z_D9B90A86_BE39_4FED_8226_084809D277F3_.wvu.Rows" sId="1"/>
    <undo index="26" exp="area" ref3D="1" dr="$A$788:$XFD$791" dn="Z_D9B90A86_BE39_4FED_8226_084809D277F3_.wvu.Rows" sId="1"/>
    <undo index="24" exp="area" ref3D="1" dr="$A$659:$XFD$662" dn="Z_D9B90A86_BE39_4FED_8226_084809D277F3_.wvu.Rows" sId="1"/>
    <undo index="22" exp="area" ref3D="1" dr="$A$535:$XFD$536" dn="Z_D9B90A86_BE39_4FED_8226_084809D277F3_.wvu.Rows" sId="1"/>
    <rfmt sheetId="1" xfDxf="1" sqref="A535:XFD535" start="0" length="0">
      <dxf>
        <font>
          <name val="Times New Roman"/>
          <scheme val="none"/>
        </font>
        <alignment vertical="center" readingOrder="0"/>
      </dxf>
    </rfmt>
    <rcc rId="0" sId="1" dxf="1">
      <nc r="A535" t="inlineStr">
        <is>
          <t>Иные закупки товаров,работ и услуг для обеспечения государственных (муниципальных) нужд</t>
        </is>
      </nc>
      <ndxf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535" t="inlineStr">
        <is>
          <t>18 0 00 83610</t>
        </is>
      </nc>
      <ndxf>
        <fill>
          <patternFill patternType="solid">
            <bgColor theme="0"/>
          </patternFill>
        </fill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C535">
        <v>240</v>
      </nc>
      <ndxf>
        <font>
          <name val="Times New Roman Cyr"/>
          <scheme val="none"/>
        </font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D535">
        <f>D536</f>
      </nc>
      <ndxf>
        <numFmt numFmtId="167" formatCode="_(* #,##0.00_);_(* \(#,##0.00\);_(* &quot;-&quot;??_);_(@_)"/>
        <fill>
          <patternFill patternType="solid">
            <bgColor theme="0"/>
          </patternFill>
        </fill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35">
        <f>E536</f>
      </nc>
      <ndxf>
        <numFmt numFmtId="167" formatCode="_(* #,##0.00_);_(* \(#,##0.00\);_(* &quot;-&quot;??_);_(@_)"/>
        <fill>
          <patternFill patternType="solid">
            <bgColor theme="0"/>
          </patternFill>
        </fill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535">
        <f>F536</f>
      </nc>
      <ndxf>
        <numFmt numFmtId="167" formatCode="_(* #,##0.00_);_(* \(#,##0.00\);_(* &quot;-&quot;??_);_(@_)"/>
        <fill>
          <patternFill patternType="solid">
            <bgColor theme="0"/>
          </patternFill>
        </fill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35" start="0" length="0">
      <dxf>
        <fill>
          <patternFill patternType="solid">
            <bgColor theme="0"/>
          </patternFill>
        </fill>
      </dxf>
    </rfmt>
    <rfmt sheetId="1" sqref="H535" start="0" length="0">
      <dxf>
        <fill>
          <patternFill patternType="solid">
            <bgColor theme="0"/>
          </patternFill>
        </fill>
      </dxf>
    </rfmt>
    <rfmt sheetId="1" sqref="I535" start="0" length="0">
      <dxf>
        <fill>
          <patternFill patternType="solid">
            <bgColor theme="0"/>
          </patternFill>
        </fill>
      </dxf>
    </rfmt>
  </rrc>
  <rrc rId="5222" sId="1" ref="A535:XFD535" action="deleteRow">
    <undo index="32" exp="area" ref3D="1" dr="$A$897:$XFD$899" dn="Z_D9B90A86_BE39_4FED_8226_084809D277F3_.wvu.Rows" sId="1"/>
    <undo index="30" exp="area" ref3D="1" dr="$A$837:$XFD$840" dn="Z_D9B90A86_BE39_4FED_8226_084809D277F3_.wvu.Rows" sId="1"/>
    <undo index="28" exp="area" ref3D="1" dr="$A$803:$XFD$808" dn="Z_D9B90A86_BE39_4FED_8226_084809D277F3_.wvu.Rows" sId="1"/>
    <undo index="26" exp="area" ref3D="1" dr="$A$787:$XFD$790" dn="Z_D9B90A86_BE39_4FED_8226_084809D277F3_.wvu.Rows" sId="1"/>
    <undo index="24" exp="area" ref3D="1" dr="$A$658:$XFD$661" dn="Z_D9B90A86_BE39_4FED_8226_084809D277F3_.wvu.Rows" sId="1"/>
    <undo index="22" exp="area" ref3D="1" dr="$A$535:$XFD$535" dn="Z_D9B90A86_BE39_4FED_8226_084809D277F3_.wvu.Rows" sId="1"/>
    <rfmt sheetId="1" xfDxf="1" sqref="A535:XFD535" start="0" length="0">
      <dxf>
        <font>
          <name val="Times New Roman"/>
          <scheme val="none"/>
        </font>
        <alignment vertical="center" readingOrder="0"/>
      </dxf>
    </rfmt>
    <rcc rId="0" sId="1" dxf="1">
      <nc r="A535" t="inlineStr">
        <is>
          <t xml:space="preserve">Прочая закупка товаров, работ и услуг </t>
        </is>
      </nc>
      <ndxf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535" t="inlineStr">
        <is>
          <t>18 0 00 83610</t>
        </is>
      </nc>
      <ndxf>
        <fill>
          <patternFill patternType="solid">
            <bgColor theme="0"/>
          </patternFill>
        </fill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C535">
        <v>244</v>
      </nc>
      <ndxf>
        <font>
          <name val="Times New Roman Cyr"/>
          <scheme val="none"/>
        </font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 numFmtId="34">
      <nc r="D535">
        <v>0</v>
      </nc>
      <ndxf>
        <numFmt numFmtId="167" formatCode="_(* #,##0.00_);_(* \(#,##0.00\);_(* &quot;-&quot;??_);_(@_)"/>
        <fill>
          <patternFill patternType="solid">
            <bgColor theme="0"/>
          </patternFill>
        </fill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35">
        <v>0</v>
      </nc>
      <ndxf>
        <numFmt numFmtId="167" formatCode="_(* #,##0.00_);_(* \(#,##0.00\);_(* &quot;-&quot;??_);_(@_)"/>
        <fill>
          <patternFill patternType="solid">
            <bgColor theme="0"/>
          </patternFill>
        </fill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F535">
        <v>0</v>
      </nc>
      <ndxf>
        <numFmt numFmtId="167" formatCode="_(* #,##0.00_);_(* \(#,##0.00\);_(* &quot;-&quot;??_);_(@_)"/>
        <fill>
          <patternFill patternType="solid">
            <bgColor theme="0"/>
          </patternFill>
        </fill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35" start="0" length="0">
      <dxf>
        <fill>
          <patternFill patternType="solid">
            <bgColor theme="0"/>
          </patternFill>
        </fill>
      </dxf>
    </rfmt>
    <rfmt sheetId="1" sqref="H535" start="0" length="0">
      <dxf>
        <fill>
          <patternFill patternType="solid">
            <bgColor theme="0"/>
          </patternFill>
        </fill>
      </dxf>
    </rfmt>
    <rfmt sheetId="1" sqref="I535" start="0" length="0">
      <dxf>
        <fill>
          <patternFill patternType="solid">
            <bgColor theme="0"/>
          </patternFill>
        </fill>
      </dxf>
    </rfmt>
  </rrc>
  <rrc rId="5223" sId="1" ref="A551:XFD551" action="deleteRow">
    <undo index="1" exp="ref" v="1" dr="F551" r="F544" sId="1"/>
    <undo index="1" exp="ref" v="1" dr="E551" r="E544" sId="1"/>
    <undo index="1" exp="ref" v="1" dr="D551" r="D544" sId="1"/>
    <undo index="32" exp="area" ref3D="1" dr="$A$896:$XFD$898" dn="Z_D9B90A86_BE39_4FED_8226_084809D277F3_.wvu.Rows" sId="1"/>
    <undo index="30" exp="area" ref3D="1" dr="$A$836:$XFD$839" dn="Z_D9B90A86_BE39_4FED_8226_084809D277F3_.wvu.Rows" sId="1"/>
    <undo index="28" exp="area" ref3D="1" dr="$A$802:$XFD$807" dn="Z_D9B90A86_BE39_4FED_8226_084809D277F3_.wvu.Rows" sId="1"/>
    <undo index="26" exp="area" ref3D="1" dr="$A$786:$XFD$789" dn="Z_D9B90A86_BE39_4FED_8226_084809D277F3_.wvu.Rows" sId="1"/>
    <undo index="24" exp="area" ref3D="1" dr="$A$657:$XFD$660" dn="Z_D9B90A86_BE39_4FED_8226_084809D277F3_.wvu.Rows" sId="1"/>
    <rfmt sheetId="1" xfDxf="1" sqref="A551:XFD551" start="0" length="0">
      <dxf>
        <font>
          <name val="Times New Roman"/>
          <scheme val="none"/>
        </font>
        <alignment vertical="center" readingOrder="0"/>
      </dxf>
    </rfmt>
    <rcc rId="0" sId="1" dxf="1">
      <nc r="A551" t="inlineStr">
        <is>
          <t xml:space="preserve">Иные бюджетные ассигнования </t>
        </is>
      </nc>
      <ndxf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51" t="inlineStr">
        <is>
          <t>19 0 F3 67483</t>
        </is>
      </nc>
      <ndxf>
        <fill>
          <patternFill patternType="solid">
            <bgColor theme="0"/>
          </patternFill>
        </fill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C551">
        <v>800</v>
      </nc>
      <n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D551">
        <f>D552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51">
        <f>E552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551">
        <f>F552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51" start="0" length="0">
      <dxf>
        <fill>
          <patternFill patternType="solid">
            <bgColor theme="0"/>
          </patternFill>
        </fill>
      </dxf>
    </rfmt>
    <rfmt sheetId="1" sqref="H551" start="0" length="0">
      <dxf>
        <fill>
          <patternFill patternType="solid">
            <bgColor theme="0"/>
          </patternFill>
        </fill>
      </dxf>
    </rfmt>
    <rfmt sheetId="1" sqref="I551" start="0" length="0">
      <dxf>
        <fill>
          <patternFill patternType="solid">
            <bgColor theme="0"/>
          </patternFill>
        </fill>
      </dxf>
    </rfmt>
  </rrc>
  <rrc rId="5224" sId="1" ref="A551:XFD551" action="deleteRow">
    <undo index="32" exp="area" ref3D="1" dr="$A$895:$XFD$897" dn="Z_D9B90A86_BE39_4FED_8226_084809D277F3_.wvu.Rows" sId="1"/>
    <undo index="30" exp="area" ref3D="1" dr="$A$835:$XFD$838" dn="Z_D9B90A86_BE39_4FED_8226_084809D277F3_.wvu.Rows" sId="1"/>
    <undo index="28" exp="area" ref3D="1" dr="$A$801:$XFD$806" dn="Z_D9B90A86_BE39_4FED_8226_084809D277F3_.wvu.Rows" sId="1"/>
    <undo index="26" exp="area" ref3D="1" dr="$A$785:$XFD$788" dn="Z_D9B90A86_BE39_4FED_8226_084809D277F3_.wvu.Rows" sId="1"/>
    <undo index="24" exp="area" ref3D="1" dr="$A$656:$XFD$659" dn="Z_D9B90A86_BE39_4FED_8226_084809D277F3_.wvu.Rows" sId="1"/>
    <rfmt sheetId="1" xfDxf="1" sqref="A551:XFD551" start="0" length="0">
      <dxf>
        <font>
          <name val="Times New Roman"/>
          <scheme val="none"/>
        </font>
        <alignment vertical="center" readingOrder="0"/>
      </dxf>
    </rfmt>
    <rcc rId="0" sId="1" dxf="1">
      <nc r="A551" t="inlineStr">
        <is>
          <t>Уплата налогов, сборов и иных платежей</t>
        </is>
      </nc>
      <ndxf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551" t="inlineStr">
        <is>
          <t>19 0 F3 67483</t>
        </is>
      </nc>
      <ndxf>
        <fill>
          <patternFill patternType="solid">
            <bgColor theme="0"/>
          </patternFill>
        </fill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C551">
        <v>850</v>
      </nc>
      <n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 numFmtId="34">
      <nc r="D551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51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F551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51" start="0" length="0">
      <dxf>
        <fill>
          <patternFill patternType="solid">
            <bgColor theme="0"/>
          </patternFill>
        </fill>
      </dxf>
    </rfmt>
    <rfmt sheetId="1" sqref="H551" start="0" length="0">
      <dxf>
        <fill>
          <patternFill patternType="solid">
            <bgColor theme="0"/>
          </patternFill>
        </fill>
      </dxf>
    </rfmt>
    <rfmt sheetId="1" sqref="I551" start="0" length="0">
      <dxf>
        <fill>
          <patternFill patternType="solid">
            <bgColor theme="0"/>
          </patternFill>
        </fill>
      </dxf>
    </rfmt>
  </rrc>
  <rrc rId="5225" sId="1" ref="A558:XFD558" action="deleteRow">
    <undo index="1" exp="ref" v="1" dr="F558" r="F551" sId="1"/>
    <undo index="1" exp="ref" v="1" dr="E558" r="E551" sId="1"/>
    <undo index="1" exp="ref" v="1" dr="D558" r="D551" sId="1"/>
    <undo index="32" exp="area" ref3D="1" dr="$A$894:$XFD$896" dn="Z_D9B90A86_BE39_4FED_8226_084809D277F3_.wvu.Rows" sId="1"/>
    <undo index="30" exp="area" ref3D="1" dr="$A$834:$XFD$837" dn="Z_D9B90A86_BE39_4FED_8226_084809D277F3_.wvu.Rows" sId="1"/>
    <undo index="28" exp="area" ref3D="1" dr="$A$800:$XFD$805" dn="Z_D9B90A86_BE39_4FED_8226_084809D277F3_.wvu.Rows" sId="1"/>
    <undo index="26" exp="area" ref3D="1" dr="$A$784:$XFD$787" dn="Z_D9B90A86_BE39_4FED_8226_084809D277F3_.wvu.Rows" sId="1"/>
    <undo index="24" exp="area" ref3D="1" dr="$A$655:$XFD$658" dn="Z_D9B90A86_BE39_4FED_8226_084809D277F3_.wvu.Rows" sId="1"/>
    <rfmt sheetId="1" xfDxf="1" sqref="A558:XFD558" start="0" length="0">
      <dxf>
        <font>
          <name val="Times New Roman"/>
          <scheme val="none"/>
        </font>
        <alignment vertical="center" readingOrder="0"/>
      </dxf>
    </rfmt>
    <rcc rId="0" sId="1" dxf="1">
      <nc r="A558" t="inlineStr">
        <is>
          <t xml:space="preserve">Иные бюджетные ассигнования </t>
        </is>
      </nc>
      <ndxf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58" t="inlineStr">
        <is>
          <t>19 0 F3 67484</t>
        </is>
      </nc>
      <ndxf>
        <fill>
          <patternFill patternType="solid">
            <bgColor theme="0"/>
          </patternFill>
        </fill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C558">
        <v>800</v>
      </nc>
      <n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D558">
        <f>D559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58">
        <f>E559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558">
        <f>F559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58" start="0" length="0">
      <dxf>
        <fill>
          <patternFill patternType="solid">
            <bgColor theme="0"/>
          </patternFill>
        </fill>
      </dxf>
    </rfmt>
    <rfmt sheetId="1" sqref="H558" start="0" length="0">
      <dxf>
        <fill>
          <patternFill patternType="solid">
            <bgColor theme="0"/>
          </patternFill>
        </fill>
      </dxf>
    </rfmt>
    <rfmt sheetId="1" sqref="I558" start="0" length="0">
      <dxf>
        <fill>
          <patternFill patternType="solid">
            <bgColor theme="0"/>
          </patternFill>
        </fill>
      </dxf>
    </rfmt>
  </rrc>
  <rrc rId="5226" sId="1" ref="A558:XFD558" action="deleteRow">
    <undo index="32" exp="area" ref3D="1" dr="$A$893:$XFD$895" dn="Z_D9B90A86_BE39_4FED_8226_084809D277F3_.wvu.Rows" sId="1"/>
    <undo index="30" exp="area" ref3D="1" dr="$A$833:$XFD$836" dn="Z_D9B90A86_BE39_4FED_8226_084809D277F3_.wvu.Rows" sId="1"/>
    <undo index="28" exp="area" ref3D="1" dr="$A$799:$XFD$804" dn="Z_D9B90A86_BE39_4FED_8226_084809D277F3_.wvu.Rows" sId="1"/>
    <undo index="26" exp="area" ref3D="1" dr="$A$783:$XFD$786" dn="Z_D9B90A86_BE39_4FED_8226_084809D277F3_.wvu.Rows" sId="1"/>
    <undo index="24" exp="area" ref3D="1" dr="$A$654:$XFD$657" dn="Z_D9B90A86_BE39_4FED_8226_084809D277F3_.wvu.Rows" sId="1"/>
    <rfmt sheetId="1" xfDxf="1" sqref="A558:XFD558" start="0" length="0">
      <dxf>
        <font>
          <name val="Times New Roman"/>
          <scheme val="none"/>
        </font>
        <alignment vertical="center" readingOrder="0"/>
      </dxf>
    </rfmt>
    <rcc rId="0" sId="1" dxf="1">
      <nc r="A558" t="inlineStr">
        <is>
          <t>Уплата налогов, сборов и иных платежей</t>
        </is>
      </nc>
      <ndxf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558" t="inlineStr">
        <is>
          <t>19 0 F3 67484</t>
        </is>
      </nc>
      <ndxf>
        <fill>
          <patternFill patternType="solid">
            <bgColor theme="0"/>
          </patternFill>
        </fill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C558">
        <v>850</v>
      </nc>
      <n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 numFmtId="34">
      <nc r="D558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58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F558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58" start="0" length="0">
      <dxf>
        <fill>
          <patternFill patternType="solid">
            <bgColor theme="0"/>
          </patternFill>
        </fill>
      </dxf>
    </rfmt>
    <rfmt sheetId="1" sqref="H558" start="0" length="0">
      <dxf>
        <fill>
          <patternFill patternType="solid">
            <bgColor theme="0"/>
          </patternFill>
        </fill>
      </dxf>
    </rfmt>
    <rfmt sheetId="1" sqref="I558" start="0" length="0">
      <dxf>
        <fill>
          <patternFill patternType="solid">
            <bgColor theme="0"/>
          </patternFill>
        </fill>
      </dxf>
    </rfmt>
  </rrc>
  <rrc rId="5227" sId="1" ref="A562:XFD562" action="deleteRow">
    <undo index="1" exp="ref" v="1" dr="F562" r="F558" sId="1"/>
    <undo index="1" exp="ref" v="1" dr="E562" r="E558" sId="1"/>
    <undo index="1" exp="ref" v="1" dr="D562" r="D558" sId="1"/>
    <undo index="32" exp="area" ref3D="1" dr="$A$892:$XFD$894" dn="Z_D9B90A86_BE39_4FED_8226_084809D277F3_.wvu.Rows" sId="1"/>
    <undo index="30" exp="area" ref3D="1" dr="$A$832:$XFD$835" dn="Z_D9B90A86_BE39_4FED_8226_084809D277F3_.wvu.Rows" sId="1"/>
    <undo index="28" exp="area" ref3D="1" dr="$A$798:$XFD$803" dn="Z_D9B90A86_BE39_4FED_8226_084809D277F3_.wvu.Rows" sId="1"/>
    <undo index="26" exp="area" ref3D="1" dr="$A$782:$XFD$785" dn="Z_D9B90A86_BE39_4FED_8226_084809D277F3_.wvu.Rows" sId="1"/>
    <undo index="24" exp="area" ref3D="1" dr="$A$653:$XFD$656" dn="Z_D9B90A86_BE39_4FED_8226_084809D277F3_.wvu.Rows" sId="1"/>
    <rfmt sheetId="1" xfDxf="1" sqref="A562:XFD562" start="0" length="0">
      <dxf>
        <font>
          <name val="Times New Roman"/>
          <scheme val="none"/>
        </font>
        <alignment vertical="center" readingOrder="0"/>
      </dxf>
    </rfmt>
    <rcc rId="0" sId="1" dxf="1">
      <nc r="A562" t="inlineStr">
        <is>
          <t xml:space="preserve">Иные бюджетные ассигнования </t>
        </is>
      </nc>
      <ndxf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562" t="inlineStr">
        <is>
          <t>19 0 F3 6748S</t>
        </is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562">
        <v>800</v>
      </nc>
      <n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D562">
        <f>D563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62">
        <f>E563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562">
        <f>F563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62" start="0" length="0">
      <dxf>
        <fill>
          <patternFill patternType="solid">
            <bgColor theme="0"/>
          </patternFill>
        </fill>
      </dxf>
    </rfmt>
    <rfmt sheetId="1" sqref="H562" start="0" length="0">
      <dxf>
        <fill>
          <patternFill patternType="solid">
            <bgColor theme="0"/>
          </patternFill>
        </fill>
      </dxf>
    </rfmt>
    <rfmt sheetId="1" sqref="I562" start="0" length="0">
      <dxf>
        <fill>
          <patternFill patternType="solid">
            <bgColor theme="0"/>
          </patternFill>
        </fill>
      </dxf>
    </rfmt>
  </rrc>
  <rrc rId="5228" sId="1" ref="A562:XFD562" action="deleteRow">
    <undo index="32" exp="area" ref3D="1" dr="$A$891:$XFD$893" dn="Z_D9B90A86_BE39_4FED_8226_084809D277F3_.wvu.Rows" sId="1"/>
    <undo index="30" exp="area" ref3D="1" dr="$A$831:$XFD$834" dn="Z_D9B90A86_BE39_4FED_8226_084809D277F3_.wvu.Rows" sId="1"/>
    <undo index="28" exp="area" ref3D="1" dr="$A$797:$XFD$802" dn="Z_D9B90A86_BE39_4FED_8226_084809D277F3_.wvu.Rows" sId="1"/>
    <undo index="26" exp="area" ref3D="1" dr="$A$781:$XFD$784" dn="Z_D9B90A86_BE39_4FED_8226_084809D277F3_.wvu.Rows" sId="1"/>
    <undo index="24" exp="area" ref3D="1" dr="$A$652:$XFD$655" dn="Z_D9B90A86_BE39_4FED_8226_084809D277F3_.wvu.Rows" sId="1"/>
    <rfmt sheetId="1" xfDxf="1" sqref="A562:XFD562" start="0" length="0">
      <dxf>
        <font>
          <name val="Times New Roman"/>
          <scheme val="none"/>
        </font>
        <alignment vertical="center" readingOrder="0"/>
      </dxf>
    </rfmt>
    <rcc rId="0" sId="1" dxf="1">
      <nc r="A562" t="inlineStr">
        <is>
          <t>Уплата налогов, сборов и иных платежей</t>
        </is>
      </nc>
      <ndxf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562" t="inlineStr">
        <is>
          <t>19 0 F3 6748S</t>
        </is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C562">
        <v>850</v>
      </nc>
      <n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 numFmtId="34">
      <nc r="D562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62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F562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62" start="0" length="0">
      <dxf>
        <fill>
          <patternFill patternType="solid">
            <bgColor theme="0"/>
          </patternFill>
        </fill>
      </dxf>
    </rfmt>
    <rfmt sheetId="1" sqref="H562" start="0" length="0">
      <dxf>
        <fill>
          <patternFill patternType="solid">
            <bgColor theme="0"/>
          </patternFill>
        </fill>
      </dxf>
    </rfmt>
    <rfmt sheetId="1" sqref="I562" start="0" length="0">
      <dxf>
        <fill>
          <patternFill patternType="solid">
            <bgColor theme="0"/>
          </patternFill>
        </fill>
      </dxf>
    </rfmt>
  </rrc>
  <rcc rId="5229" sId="1">
    <oc r="D558">
      <f>D560+#REF!</f>
    </oc>
    <nc r="D558">
      <f>D560</f>
    </nc>
  </rcc>
  <rcc rId="5230" sId="1">
    <oc r="E558">
      <f>E560+#REF!</f>
    </oc>
    <nc r="E558">
      <f>E560</f>
    </nc>
  </rcc>
  <rcc rId="5231" sId="1">
    <oc r="F558">
      <f>F560+#REF!</f>
    </oc>
    <nc r="F558">
      <f>F560</f>
    </nc>
  </rcc>
  <rcc rId="5232" sId="1">
    <oc r="D551">
      <f>D556+#REF!+D552</f>
    </oc>
    <nc r="D551">
      <f>D556+D552</f>
    </nc>
  </rcc>
  <rcc rId="5233" sId="1">
    <oc r="E551">
      <f>E556+#REF!+E552</f>
    </oc>
    <nc r="E551">
      <f>E556+E552</f>
    </nc>
  </rcc>
  <rcc rId="5234" sId="1">
    <oc r="F551">
      <f>F556+#REF!+F552</f>
    </oc>
    <nc r="F551">
      <f>F556+F552</f>
    </nc>
  </rcc>
  <rcc rId="5235" sId="1">
    <oc r="D544">
      <f>D549+#REF!+D545</f>
    </oc>
    <nc r="D544">
      <f>D549+D545</f>
    </nc>
  </rcc>
  <rcc rId="5236" sId="1">
    <oc r="E544">
      <f>E549+#REF!</f>
    </oc>
    <nc r="E544">
      <f>E549+E545</f>
    </nc>
  </rcc>
  <rcc rId="5237" sId="1">
    <oc r="F544">
      <f>F549+#REF!</f>
    </oc>
    <nc r="F544">
      <f>F549+F545</f>
    </nc>
  </rcc>
  <rcc rId="5238" sId="1">
    <oc r="D534">
      <f>D535+#REF!</f>
    </oc>
    <nc r="D534">
      <f>D535</f>
    </nc>
  </rcc>
  <rcc rId="5239" sId="1">
    <oc r="E534">
      <f>E535+#REF!</f>
    </oc>
    <nc r="E534">
      <f>E535</f>
    </nc>
  </rcc>
  <rcc rId="5240" sId="1">
    <oc r="F534">
      <f>F535+#REF!</f>
    </oc>
    <nc r="F534">
      <f>F535</f>
    </nc>
  </rcc>
  <rcc rId="5241" sId="1">
    <oc r="D529">
      <f>#REF!+D530</f>
    </oc>
    <nc r="D529">
      <f>D530</f>
    </nc>
  </rcc>
  <rcc rId="5242" sId="1">
    <oc r="E524">
      <f>E525+E529+E534</f>
    </oc>
    <nc r="E524">
      <f>E525+E529+E534</f>
    </nc>
  </rcc>
  <rcc rId="5243" sId="1">
    <oc r="F524">
      <f>F525+F529+F534</f>
    </oc>
    <nc r="F524">
      <f>F525+F529+F534</f>
    </nc>
  </rcc>
  <rcc rId="5244" sId="1">
    <oc r="E529">
      <f>#REF!+E530</f>
    </oc>
    <nc r="E529">
      <f>E530</f>
    </nc>
  </rcc>
  <rcc rId="5245" sId="1">
    <oc r="F529">
      <f>#REF!+F530</f>
    </oc>
    <nc r="F529">
      <f>F530</f>
    </nc>
  </rcc>
  <rrc rId="5246" sId="1" ref="A651:XFD651" action="deleteRow">
    <undo index="3" exp="ref" v="1" dr="F651" r="F650" sId="1"/>
    <undo index="3" exp="ref" v="1" dr="E651" r="E650" sId="1"/>
    <undo index="3" exp="ref" v="1" dr="D651" r="D650" sId="1"/>
    <undo index="32" exp="area" ref3D="1" dr="$A$890:$XFD$892" dn="Z_D9B90A86_BE39_4FED_8226_084809D277F3_.wvu.Rows" sId="1"/>
    <undo index="30" exp="area" ref3D="1" dr="$A$830:$XFD$833" dn="Z_D9B90A86_BE39_4FED_8226_084809D277F3_.wvu.Rows" sId="1"/>
    <undo index="28" exp="area" ref3D="1" dr="$A$796:$XFD$801" dn="Z_D9B90A86_BE39_4FED_8226_084809D277F3_.wvu.Rows" sId="1"/>
    <undo index="26" exp="area" ref3D="1" dr="$A$780:$XFD$783" dn="Z_D9B90A86_BE39_4FED_8226_084809D277F3_.wvu.Rows" sId="1"/>
    <undo index="24" exp="area" ref3D="1" dr="$A$651:$XFD$654" dn="Z_D9B90A86_BE39_4FED_8226_084809D277F3_.wvu.Rows" sId="1"/>
    <rfmt sheetId="1" xfDxf="1" sqref="A651:XFD651" start="0" length="0">
      <dxf>
        <font>
          <name val="Times New Roman"/>
          <scheme val="none"/>
        </font>
      </dxf>
    </rfmt>
    <rcc rId="0" sId="1" dxf="1">
      <nc r="A651" t="inlineStr">
        <is>
      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      </is>
      </nc>
      <ndxf>
        <fill>
          <patternFill patternType="solid">
            <bgColor theme="0"/>
          </patternFill>
        </fill>
        <alignment horizontal="justify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651" t="inlineStr">
        <is>
          <t>54 1 00 51200</t>
        </is>
      </nc>
      <ndxf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651" start="0" length="0">
      <dxf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s="1" dxf="1">
      <nc r="D651">
        <f>D653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51">
        <f>E653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651">
        <f>F653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51" start="0" length="0">
      <dxf>
        <fill>
          <patternFill patternType="solid">
            <bgColor theme="0"/>
          </patternFill>
        </fill>
      </dxf>
    </rfmt>
    <rfmt sheetId="1" sqref="H651" start="0" length="0">
      <dxf>
        <fill>
          <patternFill patternType="solid">
            <bgColor theme="0"/>
          </patternFill>
        </fill>
      </dxf>
    </rfmt>
    <rfmt sheetId="1" sqref="I651" start="0" length="0">
      <dxf>
        <fill>
          <patternFill patternType="solid">
            <bgColor theme="0"/>
          </patternFill>
        </fill>
      </dxf>
    </rfmt>
  </rrc>
  <rrc rId="5247" sId="1" ref="A651:XFD651" action="deleteRow">
    <undo index="32" exp="area" ref3D="1" dr="$A$889:$XFD$891" dn="Z_D9B90A86_BE39_4FED_8226_084809D277F3_.wvu.Rows" sId="1"/>
    <undo index="30" exp="area" ref3D="1" dr="$A$829:$XFD$832" dn="Z_D9B90A86_BE39_4FED_8226_084809D277F3_.wvu.Rows" sId="1"/>
    <undo index="28" exp="area" ref3D="1" dr="$A$795:$XFD$800" dn="Z_D9B90A86_BE39_4FED_8226_084809D277F3_.wvu.Rows" sId="1"/>
    <undo index="26" exp="area" ref3D="1" dr="$A$779:$XFD$782" dn="Z_D9B90A86_BE39_4FED_8226_084809D277F3_.wvu.Rows" sId="1"/>
    <undo index="24" exp="area" ref3D="1" dr="$A$651:$XFD$653" dn="Z_D9B90A86_BE39_4FED_8226_084809D277F3_.wvu.Rows" sId="1"/>
    <rfmt sheetId="1" xfDxf="1" sqref="A651:XFD651" start="0" length="0">
      <dxf>
        <font>
          <name val="Times New Roman"/>
          <scheme val="none"/>
        </font>
      </dxf>
    </rfmt>
    <rcc rId="0" sId="1" dxf="1">
      <nc r="A651" t="inlineStr">
        <is>
          <t>Закупка товаров, работ и услуг для обеспечения государственных (муниципальных) нужд</t>
        </is>
      </nc>
      <ndxf>
        <fill>
          <patternFill patternType="solid">
            <bgColor theme="0"/>
          </patternFill>
        </fill>
        <alignment horizontal="justify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651" t="inlineStr">
        <is>
          <t>54 1 00 51200</t>
        </is>
      </nc>
      <ndxf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51">
        <v>200</v>
      </nc>
      <ndxf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D651">
        <f>D652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51">
        <f>E652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651">
        <f>F652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51" start="0" length="0">
      <dxf>
        <fill>
          <patternFill patternType="solid">
            <bgColor theme="0"/>
          </patternFill>
        </fill>
      </dxf>
    </rfmt>
    <rfmt sheetId="1" sqref="H651" start="0" length="0">
      <dxf>
        <fill>
          <patternFill patternType="solid">
            <bgColor theme="0"/>
          </patternFill>
        </fill>
      </dxf>
    </rfmt>
    <rfmt sheetId="1" sqref="I651" start="0" length="0">
      <dxf>
        <fill>
          <patternFill patternType="solid">
            <bgColor theme="0"/>
          </patternFill>
        </fill>
      </dxf>
    </rfmt>
  </rrc>
  <rrc rId="5248" sId="1" ref="A651:XFD651" action="deleteRow">
    <undo index="32" exp="area" ref3D="1" dr="$A$888:$XFD$890" dn="Z_D9B90A86_BE39_4FED_8226_084809D277F3_.wvu.Rows" sId="1"/>
    <undo index="30" exp="area" ref3D="1" dr="$A$828:$XFD$831" dn="Z_D9B90A86_BE39_4FED_8226_084809D277F3_.wvu.Rows" sId="1"/>
    <undo index="28" exp="area" ref3D="1" dr="$A$794:$XFD$799" dn="Z_D9B90A86_BE39_4FED_8226_084809D277F3_.wvu.Rows" sId="1"/>
    <undo index="26" exp="area" ref3D="1" dr="$A$778:$XFD$781" dn="Z_D9B90A86_BE39_4FED_8226_084809D277F3_.wvu.Rows" sId="1"/>
    <undo index="24" exp="area" ref3D="1" dr="$A$651:$XFD$652" dn="Z_D9B90A86_BE39_4FED_8226_084809D277F3_.wvu.Rows" sId="1"/>
    <rfmt sheetId="1" xfDxf="1" sqref="A651:XFD651" start="0" length="0">
      <dxf>
        <font>
          <name val="Times New Roman"/>
          <scheme val="none"/>
        </font>
      </dxf>
    </rfmt>
    <rcc rId="0" sId="1" dxf="1">
      <nc r="A651" t="inlineStr">
        <is>
          <t>Иные закупки товаров,работ и услуг для обеспечения государственных (муниципальных) нужд</t>
        </is>
      </nc>
      <ndxf>
        <fill>
          <patternFill patternType="solid">
            <bgColor theme="0"/>
          </patternFill>
        </fill>
        <alignment horizontal="justify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651" t="inlineStr">
        <is>
          <t>54 1 00 51200</t>
        </is>
      </nc>
      <ndxf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51">
        <v>240</v>
      </nc>
      <ndxf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D651">
        <f>D652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51">
        <f>E652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651">
        <f>F652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51" start="0" length="0">
      <dxf>
        <fill>
          <patternFill patternType="solid">
            <bgColor theme="0"/>
          </patternFill>
        </fill>
      </dxf>
    </rfmt>
    <rfmt sheetId="1" sqref="H651" start="0" length="0">
      <dxf>
        <fill>
          <patternFill patternType="solid">
            <bgColor theme="0"/>
          </patternFill>
        </fill>
      </dxf>
    </rfmt>
    <rfmt sheetId="1" sqref="I651" start="0" length="0">
      <dxf>
        <fill>
          <patternFill patternType="solid">
            <bgColor theme="0"/>
          </patternFill>
        </fill>
      </dxf>
    </rfmt>
  </rrc>
  <rrc rId="5249" sId="1" ref="A651:XFD651" action="deleteRow">
    <undo index="32" exp="area" ref3D="1" dr="$A$887:$XFD$889" dn="Z_D9B90A86_BE39_4FED_8226_084809D277F3_.wvu.Rows" sId="1"/>
    <undo index="30" exp="area" ref3D="1" dr="$A$827:$XFD$830" dn="Z_D9B90A86_BE39_4FED_8226_084809D277F3_.wvu.Rows" sId="1"/>
    <undo index="28" exp="area" ref3D="1" dr="$A$793:$XFD$798" dn="Z_D9B90A86_BE39_4FED_8226_084809D277F3_.wvu.Rows" sId="1"/>
    <undo index="26" exp="area" ref3D="1" dr="$A$777:$XFD$780" dn="Z_D9B90A86_BE39_4FED_8226_084809D277F3_.wvu.Rows" sId="1"/>
    <undo index="24" exp="area" ref3D="1" dr="$A$651:$XFD$651" dn="Z_D9B90A86_BE39_4FED_8226_084809D277F3_.wvu.Rows" sId="1"/>
    <rfmt sheetId="1" xfDxf="1" sqref="A651:XFD651" start="0" length="0">
      <dxf>
        <font>
          <name val="Times New Roman"/>
          <scheme val="none"/>
        </font>
      </dxf>
    </rfmt>
    <rcc rId="0" sId="1" dxf="1">
      <nc r="A651" t="inlineStr">
        <is>
          <t>Прочая закупка товаров, работ и услуг</t>
        </is>
      </nc>
      <ndxf>
        <fill>
          <patternFill patternType="solid">
            <bgColor theme="0"/>
          </patternFill>
        </fill>
        <alignment horizontal="justify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651" t="inlineStr">
        <is>
          <t>54 1 00 51200</t>
        </is>
      </nc>
      <ndxf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651">
        <v>244</v>
      </nc>
      <ndxf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 numFmtId="34">
      <nc r="D651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51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F651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651" start="0" length="0">
      <dxf>
        <fill>
          <patternFill patternType="solid">
            <bgColor theme="0"/>
          </patternFill>
        </fill>
      </dxf>
    </rfmt>
    <rfmt sheetId="1" sqref="H651" start="0" length="0">
      <dxf>
        <fill>
          <patternFill patternType="solid">
            <bgColor theme="0"/>
          </patternFill>
        </fill>
      </dxf>
    </rfmt>
    <rfmt sheetId="1" sqref="I651" start="0" length="0">
      <dxf>
        <fill>
          <patternFill patternType="solid">
            <bgColor theme="0"/>
          </patternFill>
        </fill>
      </dxf>
    </rfmt>
  </rrc>
  <rcc rId="5250" sId="1">
    <oc r="D650">
      <f>D682+D659+#REF!+D651+D655+D678</f>
    </oc>
    <nc r="D650">
      <f>D682+D659+D651+D655+D678</f>
    </nc>
  </rcc>
  <rcc rId="5251" sId="1">
    <oc r="E650">
      <f>E682+E659+#REF!+E651+E655</f>
    </oc>
    <nc r="E650">
      <f>E682+E659+E651+E655+E678</f>
    </nc>
  </rcc>
  <rcc rId="5252" sId="1">
    <oc r="F650">
      <f>F682+F659+#REF!+F651+F655</f>
    </oc>
    <nc r="F650">
      <f>F682+F659+F651+F655+F678</f>
    </nc>
  </rcc>
  <rrc rId="5253" sId="1" ref="A776:XFD776" action="deleteRow">
    <undo index="7" exp="ref" v="1" dr="F776" r="F746" sId="1"/>
    <undo index="7" exp="ref" v="1" dr="E776" r="E746" sId="1"/>
    <undo index="7" exp="ref" v="1" dr="D776" r="D746" sId="1"/>
    <undo index="32" exp="area" ref3D="1" dr="$A$886:$XFD$888" dn="Z_D9B90A86_BE39_4FED_8226_084809D277F3_.wvu.Rows" sId="1"/>
    <undo index="30" exp="area" ref3D="1" dr="$A$826:$XFD$829" dn="Z_D9B90A86_BE39_4FED_8226_084809D277F3_.wvu.Rows" sId="1"/>
    <undo index="28" exp="area" ref3D="1" dr="$A$792:$XFD$797" dn="Z_D9B90A86_BE39_4FED_8226_084809D277F3_.wvu.Rows" sId="1"/>
    <undo index="26" exp="area" ref3D="1" dr="$A$776:$XFD$779" dn="Z_D9B90A86_BE39_4FED_8226_084809D277F3_.wvu.Rows" sId="1"/>
    <rfmt sheetId="1" xfDxf="1" sqref="A776:XFD776" start="0" length="0">
      <dxf>
        <font>
          <i/>
          <name val="Times New Roman"/>
          <scheme val="none"/>
        </font>
        <alignment vertical="center" readingOrder="0"/>
      </dxf>
    </rfmt>
    <rcc rId="0" sId="1" dxf="1">
      <nc r="A776" t="inlineStr">
        <is>
          <t>Затраты на проведение повторных обследований всех ранее выданных технических заключений в отношении МКД по муниципальному образованию, признанных аварийными и подлежащими сносу в результате физического износа с 1 января 2017 года по 31 декабря 2020 года</t>
        </is>
      </nc>
      <ndxf>
        <font>
          <i val="0"/>
          <name val="Times New Roman"/>
          <scheme val="none"/>
        </font>
        <fill>
          <patternFill patternType="solid">
            <bgColor theme="0"/>
          </patternFill>
        </fill>
        <alignment horizontal="justify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776" t="inlineStr">
        <is>
          <t>59 0 00 83661</t>
        </is>
      </nc>
      <ndxf>
        <font>
          <i val="0"/>
          <name val="Times New Roman"/>
          <scheme val="none"/>
        </font>
        <fill>
          <patternFill patternType="solid">
            <bgColor theme="0"/>
          </patternFill>
        </fill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ndxf>
    </rcc>
    <rfmt sheetId="1" sqref="C776" start="0" length="0">
      <dxf>
        <font>
          <i val="0"/>
          <name val="Times New Roman"/>
          <scheme val="none"/>
        </font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s="1" dxf="1">
      <nc r="D776">
        <f>D777</f>
      </nc>
      <ndxf>
        <font>
          <i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76">
        <f>E777</f>
      </nc>
      <ndxf>
        <font>
          <i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776">
        <f>F777</f>
      </nc>
      <ndxf>
        <font>
          <i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776" start="0" length="0">
      <dxf>
        <fill>
          <patternFill patternType="solid">
            <bgColor theme="0"/>
          </patternFill>
        </fill>
      </dxf>
    </rfmt>
    <rfmt sheetId="1" sqref="H776" start="0" length="0">
      <dxf>
        <fill>
          <patternFill patternType="solid">
            <bgColor theme="0"/>
          </patternFill>
        </fill>
      </dxf>
    </rfmt>
    <rfmt sheetId="1" sqref="I776" start="0" length="0">
      <dxf>
        <fill>
          <patternFill patternType="solid">
            <bgColor theme="0"/>
          </patternFill>
        </fill>
      </dxf>
    </rfmt>
  </rrc>
  <rrc rId="5254" sId="1" ref="A776:XFD776" action="deleteRow">
    <undo index="32" exp="area" ref3D="1" dr="$A$885:$XFD$887" dn="Z_D9B90A86_BE39_4FED_8226_084809D277F3_.wvu.Rows" sId="1"/>
    <undo index="30" exp="area" ref3D="1" dr="$A$825:$XFD$828" dn="Z_D9B90A86_BE39_4FED_8226_084809D277F3_.wvu.Rows" sId="1"/>
    <undo index="28" exp="area" ref3D="1" dr="$A$791:$XFD$796" dn="Z_D9B90A86_BE39_4FED_8226_084809D277F3_.wvu.Rows" sId="1"/>
    <undo index="26" exp="area" ref3D="1" dr="$A$776:$XFD$778" dn="Z_D9B90A86_BE39_4FED_8226_084809D277F3_.wvu.Rows" sId="1"/>
    <rfmt sheetId="1" xfDxf="1" sqref="A776:XFD776" start="0" length="0">
      <dxf>
        <font>
          <i/>
          <name val="Times New Roman"/>
          <scheme val="none"/>
        </font>
        <alignment vertical="center" readingOrder="0"/>
      </dxf>
    </rfmt>
    <rcc rId="0" sId="1" dxf="1">
      <nc r="A776" t="inlineStr">
        <is>
          <t>Закупка товаров, работ и услуг для обеспечения государственных (муниципальных) нужд</t>
        </is>
      </nc>
      <ndxf>
        <font>
          <i val="0"/>
          <name val="Times New Roman"/>
          <scheme val="none"/>
        </font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776" t="inlineStr">
        <is>
          <t>59 0 00 83661</t>
        </is>
      </nc>
      <ndxf>
        <font>
          <i val="0"/>
          <name val="Times New Roman"/>
          <scheme val="none"/>
        </font>
        <fill>
          <patternFill patternType="solid">
            <bgColor theme="0"/>
          </patternFill>
        </fill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C776">
        <v>200</v>
      </nc>
      <ndxf>
        <font>
          <i val="0"/>
          <name val="Times New Roman"/>
          <scheme val="none"/>
        </font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D776">
        <f>D777</f>
      </nc>
      <ndxf>
        <font>
          <i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76">
        <f>E777</f>
      </nc>
      <ndxf>
        <font>
          <i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776">
        <f>F777</f>
      </nc>
      <ndxf>
        <font>
          <i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776" start="0" length="0">
      <dxf>
        <fill>
          <patternFill patternType="solid">
            <bgColor theme="0"/>
          </patternFill>
        </fill>
      </dxf>
    </rfmt>
    <rfmt sheetId="1" sqref="H776" start="0" length="0">
      <dxf>
        <fill>
          <patternFill patternType="solid">
            <bgColor theme="0"/>
          </patternFill>
        </fill>
      </dxf>
    </rfmt>
    <rfmt sheetId="1" sqref="I776" start="0" length="0">
      <dxf>
        <fill>
          <patternFill patternType="solid">
            <bgColor theme="0"/>
          </patternFill>
        </fill>
      </dxf>
    </rfmt>
  </rrc>
  <rrc rId="5255" sId="1" ref="A776:XFD776" action="deleteRow">
    <undo index="32" exp="area" ref3D="1" dr="$A$884:$XFD$886" dn="Z_D9B90A86_BE39_4FED_8226_084809D277F3_.wvu.Rows" sId="1"/>
    <undo index="30" exp="area" ref3D="1" dr="$A$824:$XFD$827" dn="Z_D9B90A86_BE39_4FED_8226_084809D277F3_.wvu.Rows" sId="1"/>
    <undo index="28" exp="area" ref3D="1" dr="$A$790:$XFD$795" dn="Z_D9B90A86_BE39_4FED_8226_084809D277F3_.wvu.Rows" sId="1"/>
    <undo index="26" exp="area" ref3D="1" dr="$A$776:$XFD$777" dn="Z_D9B90A86_BE39_4FED_8226_084809D277F3_.wvu.Rows" sId="1"/>
    <rfmt sheetId="1" xfDxf="1" sqref="A776:XFD776" start="0" length="0">
      <dxf>
        <font>
          <i/>
          <name val="Times New Roman"/>
          <scheme val="none"/>
        </font>
        <alignment vertical="center" readingOrder="0"/>
      </dxf>
    </rfmt>
    <rcc rId="0" sId="1" dxf="1">
      <nc r="A776" t="inlineStr">
        <is>
          <t>Иные закупки товаров,работ и услуг для обеспечения государственных (муниципальных) нужд</t>
        </is>
      </nc>
      <ndxf>
        <font>
          <i val="0"/>
          <name val="Times New Roman"/>
          <scheme val="none"/>
        </font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776" t="inlineStr">
        <is>
          <t>59 0 00 83661</t>
        </is>
      </nc>
      <ndxf>
        <font>
          <i val="0"/>
          <name val="Times New Roman"/>
          <scheme val="none"/>
        </font>
        <fill>
          <patternFill patternType="solid">
            <bgColor theme="0"/>
          </patternFill>
        </fill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C776">
        <v>240</v>
      </nc>
      <ndxf>
        <font>
          <i val="0"/>
          <name val="Times New Roman"/>
          <scheme val="none"/>
        </font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D776">
        <f>D777</f>
      </nc>
      <ndxf>
        <font>
          <i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76">
        <f>E777</f>
      </nc>
      <ndxf>
        <font>
          <i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776">
        <f>F777</f>
      </nc>
      <ndxf>
        <font>
          <i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776" start="0" length="0">
      <dxf>
        <fill>
          <patternFill patternType="solid">
            <bgColor theme="0"/>
          </patternFill>
        </fill>
      </dxf>
    </rfmt>
    <rfmt sheetId="1" sqref="H776" start="0" length="0">
      <dxf>
        <fill>
          <patternFill patternType="solid">
            <bgColor theme="0"/>
          </patternFill>
        </fill>
      </dxf>
    </rfmt>
    <rfmt sheetId="1" sqref="I776" start="0" length="0">
      <dxf>
        <fill>
          <patternFill patternType="solid">
            <bgColor theme="0"/>
          </patternFill>
        </fill>
      </dxf>
    </rfmt>
  </rrc>
  <rrc rId="5256" sId="1" ref="A776:XFD776" action="deleteRow">
    <undo index="32" exp="area" ref3D="1" dr="$A$883:$XFD$885" dn="Z_D9B90A86_BE39_4FED_8226_084809D277F3_.wvu.Rows" sId="1"/>
    <undo index="30" exp="area" ref3D="1" dr="$A$823:$XFD$826" dn="Z_D9B90A86_BE39_4FED_8226_084809D277F3_.wvu.Rows" sId="1"/>
    <undo index="28" exp="area" ref3D="1" dr="$A$789:$XFD$794" dn="Z_D9B90A86_BE39_4FED_8226_084809D277F3_.wvu.Rows" sId="1"/>
    <undo index="26" exp="area" ref3D="1" dr="$A$776:$XFD$776" dn="Z_D9B90A86_BE39_4FED_8226_084809D277F3_.wvu.Rows" sId="1"/>
    <rfmt sheetId="1" xfDxf="1" sqref="A776:XFD776" start="0" length="0">
      <dxf>
        <font>
          <i/>
          <name val="Times New Roman"/>
          <scheme val="none"/>
        </font>
        <alignment vertical="center" readingOrder="0"/>
      </dxf>
    </rfmt>
    <rcc rId="0" sId="1" dxf="1">
      <nc r="A776" t="inlineStr">
        <is>
          <t>Прочая закупка товаров, работ и услуг</t>
        </is>
      </nc>
      <ndxf>
        <font>
          <i val="0"/>
          <name val="Times New Roman"/>
          <scheme val="none"/>
        </font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776" t="inlineStr">
        <is>
          <t>59 0 00 83661</t>
        </is>
      </nc>
      <ndxf>
        <font>
          <i val="0"/>
          <name val="Times New Roman"/>
          <scheme val="none"/>
        </font>
        <fill>
          <patternFill patternType="solid">
            <bgColor theme="0"/>
          </patternFill>
        </fill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C776">
        <v>244</v>
      </nc>
      <ndxf>
        <font>
          <i val="0"/>
          <name val="Times New Roman"/>
          <scheme val="none"/>
        </font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 numFmtId="34">
      <nc r="D776">
        <v>0</v>
      </nc>
      <ndxf>
        <font>
          <i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76">
        <v>0</v>
      </nc>
      <ndxf>
        <font>
          <i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F776">
        <v>0</v>
      </nc>
      <ndxf>
        <font>
          <i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776" start="0" length="0">
      <dxf>
        <fill>
          <patternFill patternType="solid">
            <bgColor theme="0"/>
          </patternFill>
        </fill>
      </dxf>
    </rfmt>
    <rfmt sheetId="1" sqref="H776" start="0" length="0">
      <dxf>
        <fill>
          <patternFill patternType="solid">
            <bgColor theme="0"/>
          </patternFill>
        </fill>
      </dxf>
    </rfmt>
    <rfmt sheetId="1" sqref="I776" start="0" length="0">
      <dxf>
        <fill>
          <patternFill patternType="solid">
            <bgColor theme="0"/>
          </patternFill>
        </fill>
      </dxf>
    </rfmt>
  </rrc>
  <rrc rId="5257" sId="1" ref="A788:XFD788" action="deleteRow">
    <undo index="9" exp="ref" v="1" dr="D788" r="D784" sId="1"/>
    <undo index="32" exp="area" ref3D="1" dr="$A$882:$XFD$884" dn="Z_D9B90A86_BE39_4FED_8226_084809D277F3_.wvu.Rows" sId="1"/>
    <undo index="30" exp="area" ref3D="1" dr="$A$822:$XFD$825" dn="Z_D9B90A86_BE39_4FED_8226_084809D277F3_.wvu.Rows" sId="1"/>
    <undo index="28" exp="area" ref3D="1" dr="$A$788:$XFD$793" dn="Z_D9B90A86_BE39_4FED_8226_084809D277F3_.wvu.Rows" sId="1"/>
    <rfmt sheetId="1" xfDxf="1" sqref="A788:XFD788" start="0" length="0">
      <dxf>
        <font>
          <name val="Times New Roman"/>
          <scheme val="none"/>
        </font>
      </dxf>
    </rfmt>
    <rcc rId="0" sId="1" dxf="1">
      <nc r="A788" t="inlineStr">
        <is>
          <t>Капитальные вложения в объекты государственной (муниципальной) собственности</t>
        </is>
      </nc>
      <ndxf>
        <fill>
          <patternFill patternType="solid">
            <bgColor theme="0"/>
          </patternFill>
        </fill>
        <alignment horizontal="justify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88" t="inlineStr">
        <is>
          <t>59 0 00 83691</t>
        </is>
      </nc>
      <ndxf>
        <fill>
          <patternFill patternType="solid">
            <bgColor theme="0"/>
          </patternFill>
        </fill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C788">
        <v>400</v>
      </nc>
      <ndxf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788">
        <f>D789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88">
        <f>E789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788">
        <f>F789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788" start="0" length="0">
      <dxf>
        <fill>
          <patternFill patternType="solid">
            <bgColor theme="0"/>
          </patternFill>
        </fill>
      </dxf>
    </rfmt>
    <rfmt sheetId="1" sqref="H788" start="0" length="0">
      <dxf>
        <fill>
          <patternFill patternType="solid">
            <bgColor theme="0"/>
          </patternFill>
        </fill>
      </dxf>
    </rfmt>
    <rfmt sheetId="1" sqref="I788" start="0" length="0">
      <dxf>
        <fill>
          <patternFill patternType="solid">
            <bgColor theme="0"/>
          </patternFill>
        </fill>
      </dxf>
    </rfmt>
  </rrc>
  <rrc rId="5258" sId="1" ref="A788:XFD788" action="deleteRow">
    <undo index="32" exp="area" ref3D="1" dr="$A$881:$XFD$883" dn="Z_D9B90A86_BE39_4FED_8226_084809D277F3_.wvu.Rows" sId="1"/>
    <undo index="30" exp="area" ref3D="1" dr="$A$821:$XFD$824" dn="Z_D9B90A86_BE39_4FED_8226_084809D277F3_.wvu.Rows" sId="1"/>
    <undo index="28" exp="area" ref3D="1" dr="$A$788:$XFD$792" dn="Z_D9B90A86_BE39_4FED_8226_084809D277F3_.wvu.Rows" sId="1"/>
    <rfmt sheetId="1" xfDxf="1" sqref="A788:XFD788" start="0" length="0">
      <dxf>
        <font>
          <name val="Times New Roman"/>
          <scheme val="none"/>
        </font>
      </dxf>
    </rfmt>
    <rcc rId="0" sId="1" dxf="1">
      <nc r="A788" t="inlineStr">
        <is>
          <t>Бюджетные инвестиции</t>
        </is>
      </nc>
      <ndxf>
        <fill>
          <patternFill patternType="solid">
            <bgColor theme="0"/>
          </patternFill>
        </fill>
        <alignment horizontal="justify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88" t="inlineStr">
        <is>
          <t>59 0 00 83691</t>
        </is>
      </nc>
      <ndxf>
        <fill>
          <patternFill patternType="solid">
            <bgColor theme="0"/>
          </patternFill>
        </fill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C788">
        <v>410</v>
      </nc>
      <ndxf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788">
        <f>D789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88">
        <f>E789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788">
        <f>F789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788" start="0" length="0">
      <dxf>
        <fill>
          <patternFill patternType="solid">
            <bgColor theme="0"/>
          </patternFill>
        </fill>
      </dxf>
    </rfmt>
    <rfmt sheetId="1" sqref="H788" start="0" length="0">
      <dxf>
        <fill>
          <patternFill patternType="solid">
            <bgColor theme="0"/>
          </patternFill>
        </fill>
      </dxf>
    </rfmt>
    <rfmt sheetId="1" sqref="I788" start="0" length="0">
      <dxf>
        <fill>
          <patternFill patternType="solid">
            <bgColor theme="0"/>
          </patternFill>
        </fill>
      </dxf>
    </rfmt>
  </rrc>
  <rrc rId="5259" sId="1" ref="A788:XFD788" action="deleteRow">
    <undo index="32" exp="area" ref3D="1" dr="$A$880:$XFD$882" dn="Z_D9B90A86_BE39_4FED_8226_084809D277F3_.wvu.Rows" sId="1"/>
    <undo index="30" exp="area" ref3D="1" dr="$A$820:$XFD$823" dn="Z_D9B90A86_BE39_4FED_8226_084809D277F3_.wvu.Rows" sId="1"/>
    <undo index="28" exp="area" ref3D="1" dr="$A$788:$XFD$791" dn="Z_D9B90A86_BE39_4FED_8226_084809D277F3_.wvu.Rows" sId="1"/>
    <rfmt sheetId="1" xfDxf="1" sqref="A788:XFD788" start="0" length="0">
      <dxf>
        <font>
          <name val="Times New Roman"/>
          <scheme val="none"/>
        </font>
      </dxf>
    </rfmt>
    <rcc rId="0" sId="1" dxf="1">
      <nc r="A788" t="inlineStr">
        <is>
          <t>Бюджетные инвестиции в объекты капитального строительства государственной (муниципальной) собственности</t>
        </is>
      </nc>
      <ndxf>
        <fill>
          <patternFill patternType="solid">
            <bgColor theme="0"/>
          </patternFill>
        </fill>
        <alignment horizontal="justify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788" t="inlineStr">
        <is>
          <t>59 0 00 83691</t>
        </is>
      </nc>
      <ndxf>
        <fill>
          <patternFill patternType="solid">
            <bgColor theme="0"/>
          </patternFill>
        </fill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C788">
        <v>414</v>
      </nc>
      <ndxf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 numFmtId="34">
      <nc r="D788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88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F788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788" start="0" length="0">
      <dxf>
        <fill>
          <patternFill patternType="solid">
            <bgColor theme="0"/>
          </patternFill>
        </fill>
      </dxf>
    </rfmt>
    <rfmt sheetId="1" sqref="H788" start="0" length="0">
      <dxf>
        <fill>
          <patternFill patternType="solid">
            <bgColor theme="0"/>
          </patternFill>
        </fill>
      </dxf>
    </rfmt>
    <rfmt sheetId="1" sqref="I788" start="0" length="0">
      <dxf>
        <fill>
          <patternFill patternType="solid">
            <bgColor theme="0"/>
          </patternFill>
        </fill>
      </dxf>
    </rfmt>
  </rrc>
  <rrc rId="5260" sId="1" ref="A788:XFD788" action="deleteRow">
    <undo index="32" exp="area" ref3D="1" dr="$A$879:$XFD$881" dn="Z_D9B90A86_BE39_4FED_8226_084809D277F3_.wvu.Rows" sId="1"/>
    <undo index="30" exp="area" ref3D="1" dr="$A$819:$XFD$822" dn="Z_D9B90A86_BE39_4FED_8226_084809D277F3_.wvu.Rows" sId="1"/>
    <undo index="28" exp="area" ref3D="1" dr="$A$788:$XFD$790" dn="Z_D9B90A86_BE39_4FED_8226_084809D277F3_.wvu.Rows" sId="1"/>
    <rfmt sheetId="1" xfDxf="1" sqref="A788:XFD788" start="0" length="0">
      <dxf>
        <font>
          <name val="Times New Roman"/>
          <scheme val="none"/>
        </font>
      </dxf>
    </rfmt>
    <rcc rId="0" sId="1" dxf="1">
      <nc r="A788" t="inlineStr">
        <is>
          <t xml:space="preserve">Иные бюджетные ассигнования </t>
        </is>
      </nc>
      <ndxf>
        <fill>
          <patternFill patternType="solid">
            <bgColor theme="0"/>
          </patternFill>
        </fill>
        <alignment horizontal="justify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88" t="inlineStr">
        <is>
          <t>59 0 00 83691</t>
        </is>
      </nc>
      <ndxf>
        <fill>
          <patternFill patternType="solid">
            <bgColor theme="0"/>
          </patternFill>
        </fill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C788" t="inlineStr">
        <is>
          <t>800</t>
        </is>
      </nc>
      <ndxf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788">
        <f>D789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88">
        <f>E789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788">
        <f>F789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788" start="0" length="0">
      <dxf>
        <fill>
          <patternFill patternType="solid">
            <bgColor theme="0"/>
          </patternFill>
        </fill>
      </dxf>
    </rfmt>
    <rfmt sheetId="1" sqref="H788" start="0" length="0">
      <dxf>
        <fill>
          <patternFill patternType="solid">
            <bgColor theme="0"/>
          </patternFill>
        </fill>
      </dxf>
    </rfmt>
    <rfmt sheetId="1" sqref="I788" start="0" length="0">
      <dxf>
        <fill>
          <patternFill patternType="solid">
            <bgColor theme="0"/>
          </patternFill>
        </fill>
      </dxf>
    </rfmt>
  </rrc>
  <rrc rId="5261" sId="1" ref="A788:XFD788" action="deleteRow">
    <undo index="0" exp="ref" v="1" dr="F788" r="F784" sId="1"/>
    <undo index="0" exp="ref" v="1" dr="E788" r="E784" sId="1"/>
    <undo index="0" exp="ref" v="1" dr="D788" r="D784" sId="1"/>
    <undo index="32" exp="area" ref3D="1" dr="$A$878:$XFD$880" dn="Z_D9B90A86_BE39_4FED_8226_084809D277F3_.wvu.Rows" sId="1"/>
    <undo index="30" exp="area" ref3D="1" dr="$A$818:$XFD$821" dn="Z_D9B90A86_BE39_4FED_8226_084809D277F3_.wvu.Rows" sId="1"/>
    <undo index="28" exp="area" ref3D="1" dr="$A$788:$XFD$789" dn="Z_D9B90A86_BE39_4FED_8226_084809D277F3_.wvu.Rows" sId="1"/>
    <rfmt sheetId="1" xfDxf="1" sqref="A788:XFD788" start="0" length="0">
      <dxf>
        <font>
          <name val="Times New Roman"/>
          <scheme val="none"/>
        </font>
      </dxf>
    </rfmt>
    <rcc rId="0" sId="1" dxf="1">
      <nc r="A788" t="inlineStr">
        <is>
          <t>Субсидии юридическим лицам (кроме некомерческих организаций), индивидуальным предпринимателям, физическим лицам - производителям товаров, работ, услуг</t>
        </is>
      </nc>
      <ndxf>
        <fill>
          <patternFill patternType="solid">
            <bgColor theme="0"/>
          </patternFill>
        </fill>
        <alignment horizontal="justify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788" t="inlineStr">
        <is>
          <t>59 0 00 83691</t>
        </is>
      </nc>
      <ndxf>
        <fill>
          <patternFill patternType="solid">
            <bgColor theme="0"/>
          </patternFill>
        </fill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C788" t="inlineStr">
        <is>
          <t>810</t>
        </is>
      </nc>
      <ndxf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788">
        <f>D789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88">
        <f>E789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788">
        <f>F789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788" start="0" length="0">
      <dxf>
        <fill>
          <patternFill patternType="solid">
            <bgColor theme="0"/>
          </patternFill>
        </fill>
      </dxf>
    </rfmt>
    <rfmt sheetId="1" sqref="H788" start="0" length="0">
      <dxf>
        <fill>
          <patternFill patternType="solid">
            <bgColor theme="0"/>
          </patternFill>
        </fill>
      </dxf>
    </rfmt>
    <rfmt sheetId="1" sqref="I788" start="0" length="0">
      <dxf>
        <fill>
          <patternFill patternType="solid">
            <bgColor theme="0"/>
          </patternFill>
        </fill>
      </dxf>
    </rfmt>
  </rrc>
  <rrc rId="5262" sId="1" ref="A788:XFD788" action="deleteRow">
    <undo index="32" exp="area" ref3D="1" dr="$A$877:$XFD$879" dn="Z_D9B90A86_BE39_4FED_8226_084809D277F3_.wvu.Rows" sId="1"/>
    <undo index="30" exp="area" ref3D="1" dr="$A$817:$XFD$820" dn="Z_D9B90A86_BE39_4FED_8226_084809D277F3_.wvu.Rows" sId="1"/>
    <undo index="28" exp="area" ref3D="1" dr="$A$788:$XFD$788" dn="Z_D9B90A86_BE39_4FED_8226_084809D277F3_.wvu.Rows" sId="1"/>
    <rfmt sheetId="1" xfDxf="1" sqref="A788:XFD788" start="0" length="0">
      <dxf>
        <font>
          <name val="Times New Roman"/>
          <scheme val="none"/>
        </font>
      </dxf>
    </rfmt>
    <rcc rId="0" sId="1" dxf="1">
      <nc r="A788" t="inlineStr">
        <is>
          <t>Субсидии на возмещение недополученных доходов или возмещение фактически понесенных затрат в связи с производством (реализацией) товаров, выполнением работ, оказанием услуг</t>
        </is>
      </nc>
      <ndxf>
        <fill>
          <patternFill patternType="solid">
            <bgColor theme="0"/>
          </patternFill>
        </fill>
        <alignment horizontal="justify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788" t="inlineStr">
        <is>
          <t>59 0 00 83691</t>
        </is>
      </nc>
      <ndxf>
        <fill>
          <patternFill patternType="solid">
            <bgColor theme="0"/>
          </patternFill>
        </fill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C788" t="inlineStr">
        <is>
          <t>811</t>
        </is>
      </nc>
      <ndxf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 numFmtId="34">
      <nc r="D788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88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F788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788" start="0" length="0">
      <dxf>
        <fill>
          <patternFill patternType="solid">
            <bgColor theme="0"/>
          </patternFill>
        </fill>
      </dxf>
    </rfmt>
    <rfmt sheetId="1" sqref="H788" start="0" length="0">
      <dxf>
        <fill>
          <patternFill patternType="solid">
            <bgColor theme="0"/>
          </patternFill>
        </fill>
      </dxf>
    </rfmt>
    <rfmt sheetId="1" sqref="I788" start="0" length="0">
      <dxf>
        <fill>
          <patternFill patternType="solid">
            <bgColor theme="0"/>
          </patternFill>
        </fill>
      </dxf>
    </rfmt>
  </rrc>
  <rcc rId="5263" sId="1">
    <oc r="D784">
      <f>#REF!+D785+D788+D792+D796+#REF!</f>
    </oc>
    <nc r="D784">
      <f>D785+D788+D792+D796</f>
    </nc>
  </rcc>
  <rcc rId="5264" sId="1">
    <oc r="E784">
      <f>#REF!+E785+E788+E792+E796</f>
    </oc>
    <nc r="E784">
      <f>E785+E788+E792+E796</f>
    </nc>
  </rcc>
  <rcc rId="5265" sId="1">
    <oc r="F784">
      <f>#REF!+F785+F788+F792+F796</f>
    </oc>
    <nc r="F784">
      <f>F785+F788+F792+F796</f>
    </nc>
  </rcc>
  <rcc rId="5266" sId="1">
    <oc r="D746">
      <f>D747+D755+D759+D784+#REF!+D776+D780</f>
    </oc>
    <nc r="D746">
      <f>D747+D755+D759+D784+D776+D780</f>
    </nc>
  </rcc>
  <rcc rId="5267" sId="1">
    <oc r="E746">
      <f>E747+E755+E759+E784+#REF!+E776+E780</f>
    </oc>
    <nc r="E746">
      <f>E747+E755+E759+E784+E776+E780</f>
    </nc>
  </rcc>
  <rcc rId="5268" sId="1">
    <oc r="F746">
      <f>F747+F755+F759+F784+#REF!+F776+F780</f>
    </oc>
    <nc r="F746">
      <f>F747+F755+F759+F784+F776+F780</f>
    </nc>
  </rcc>
  <rrc rId="5269" sId="1" ref="A816:XFD816" action="deleteRow">
    <undo index="0" exp="ref" v="1" dr="F816" r="F815" sId="1"/>
    <undo index="0" exp="ref" v="1" dr="E816" r="E815" sId="1"/>
    <undo index="0" exp="ref" v="1" dr="D816" r="D815" sId="1"/>
    <undo index="32" exp="area" ref3D="1" dr="$A$876:$XFD$878" dn="Z_D9B90A86_BE39_4FED_8226_084809D277F3_.wvu.Rows" sId="1"/>
    <undo index="30" exp="area" ref3D="1" dr="$A$816:$XFD$819" dn="Z_D9B90A86_BE39_4FED_8226_084809D277F3_.wvu.Rows" sId="1"/>
    <rfmt sheetId="1" xfDxf="1" sqref="A816:XFD816" start="0" length="0">
      <dxf>
        <font>
          <name val="Times New Roman"/>
          <scheme val="none"/>
        </font>
      </dxf>
    </rfmt>
    <rcc rId="0" sId="1" dxf="1">
      <nc r="A816" t="inlineStr">
        <is>
      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      </is>
      </nc>
      <ndxf>
        <fill>
          <patternFill patternType="solid">
            <bgColor theme="0"/>
          </patternFill>
        </fill>
        <alignment horizontal="justify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816" t="inlineStr">
        <is>
          <t>61 1 00 R0820</t>
        </is>
      </nc>
      <ndxf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ndxf>
    </rcc>
    <rfmt sheetId="1" sqref="C816" start="0" length="0">
      <dxf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D816">
        <f>D817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16">
        <f>E817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816">
        <f>F817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bottom style="thin">
            <color indexed="64"/>
          </bottom>
        </border>
      </ndxf>
    </rcc>
    <rfmt sheetId="1" sqref="G816" start="0" length="0">
      <dxf>
        <fill>
          <patternFill patternType="solid">
            <bgColor theme="0"/>
          </patternFill>
        </fill>
      </dxf>
    </rfmt>
    <rfmt sheetId="1" sqref="H816" start="0" length="0">
      <dxf>
        <fill>
          <patternFill patternType="solid">
            <bgColor theme="0"/>
          </patternFill>
        </fill>
      </dxf>
    </rfmt>
    <rfmt sheetId="1" sqref="I816" start="0" length="0">
      <dxf>
        <fill>
          <patternFill patternType="solid">
            <bgColor theme="0"/>
          </patternFill>
        </fill>
      </dxf>
    </rfmt>
  </rrc>
  <rrc rId="5270" sId="1" ref="A816:XFD816" action="deleteRow">
    <undo index="32" exp="area" ref3D="1" dr="$A$875:$XFD$877" dn="Z_D9B90A86_BE39_4FED_8226_084809D277F3_.wvu.Rows" sId="1"/>
    <undo index="30" exp="area" ref3D="1" dr="$A$816:$XFD$818" dn="Z_D9B90A86_BE39_4FED_8226_084809D277F3_.wvu.Rows" sId="1"/>
    <rfmt sheetId="1" xfDxf="1" sqref="A816:XFD816" start="0" length="0">
      <dxf>
        <font>
          <name val="Times New Roman"/>
          <scheme val="none"/>
        </font>
      </dxf>
    </rfmt>
    <rcc rId="0" sId="1" dxf="1">
      <nc r="A816" t="inlineStr">
        <is>
          <t>Капитальные вложения в объекты государственной (муниципальной) собственности</t>
        </is>
      </nc>
      <ndxf>
        <fill>
          <patternFill patternType="solid">
            <bgColor theme="0"/>
          </patternFill>
        </fill>
        <alignment horizontal="justify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816" t="inlineStr">
        <is>
          <t>61 1 00 R0820</t>
        </is>
      </nc>
      <ndxf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C816" t="inlineStr">
        <is>
          <t>400</t>
        </is>
      </nc>
      <ndxf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816">
        <f>D818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16">
        <f>E818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816">
        <f>F818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bottom style="thin">
            <color indexed="64"/>
          </bottom>
        </border>
      </ndxf>
    </rcc>
    <rfmt sheetId="1" sqref="G816" start="0" length="0">
      <dxf>
        <fill>
          <patternFill patternType="solid">
            <bgColor theme="0"/>
          </patternFill>
        </fill>
      </dxf>
    </rfmt>
    <rfmt sheetId="1" sqref="H816" start="0" length="0">
      <dxf>
        <fill>
          <patternFill patternType="solid">
            <bgColor theme="0"/>
          </patternFill>
        </fill>
      </dxf>
    </rfmt>
    <rfmt sheetId="1" sqref="I816" start="0" length="0">
      <dxf>
        <fill>
          <patternFill patternType="solid">
            <bgColor theme="0"/>
          </patternFill>
        </fill>
      </dxf>
    </rfmt>
  </rrc>
  <rrc rId="5271" sId="1" ref="A816:XFD816" action="deleteRow">
    <undo index="32" exp="area" ref3D="1" dr="$A$874:$XFD$876" dn="Z_D9B90A86_BE39_4FED_8226_084809D277F3_.wvu.Rows" sId="1"/>
    <undo index="30" exp="area" ref3D="1" dr="$A$816:$XFD$817" dn="Z_D9B90A86_BE39_4FED_8226_084809D277F3_.wvu.Rows" sId="1"/>
    <rfmt sheetId="1" xfDxf="1" sqref="A816:XFD816" start="0" length="0">
      <dxf>
        <font>
          <name val="Times New Roman"/>
          <scheme val="none"/>
        </font>
      </dxf>
    </rfmt>
    <rcc rId="0" sId="1" dxf="1">
      <nc r="A816" t="inlineStr">
        <is>
          <t>Бюджетные инвестиции</t>
        </is>
      </nc>
      <ndxf>
        <fill>
          <patternFill patternType="solid">
            <bgColor theme="0"/>
          </patternFill>
        </fill>
        <alignment horizontal="justify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816" t="inlineStr">
        <is>
          <t>61 1 00 R0820</t>
        </is>
      </nc>
      <ndxf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C816" t="inlineStr">
        <is>
          <t>410</t>
        </is>
      </nc>
      <ndxf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816">
        <f>D817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16">
        <f>E817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F816">
        <f>F817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bottom style="thin">
            <color indexed="64"/>
          </bottom>
        </border>
      </ndxf>
    </rcc>
    <rfmt sheetId="1" sqref="G816" start="0" length="0">
      <dxf>
        <fill>
          <patternFill patternType="solid">
            <bgColor theme="0"/>
          </patternFill>
        </fill>
      </dxf>
    </rfmt>
    <rfmt sheetId="1" sqref="H816" start="0" length="0">
      <dxf>
        <fill>
          <patternFill patternType="solid">
            <bgColor theme="0"/>
          </patternFill>
        </fill>
      </dxf>
    </rfmt>
    <rfmt sheetId="1" sqref="I816" start="0" length="0">
      <dxf>
        <fill>
          <patternFill patternType="solid">
            <bgColor theme="0"/>
          </patternFill>
        </fill>
      </dxf>
    </rfmt>
  </rrc>
  <rrc rId="5272" sId="1" ref="A816:XFD816" action="deleteRow">
    <undo index="32" exp="area" ref3D="1" dr="$A$873:$XFD$875" dn="Z_D9B90A86_BE39_4FED_8226_084809D277F3_.wvu.Rows" sId="1"/>
    <undo index="30" exp="area" ref3D="1" dr="$A$816:$XFD$816" dn="Z_D9B90A86_BE39_4FED_8226_084809D277F3_.wvu.Rows" sId="1"/>
    <rfmt sheetId="1" xfDxf="1" sqref="A816:XFD816" start="0" length="0">
      <dxf>
        <font>
          <name val="Times New Roman"/>
          <scheme val="none"/>
        </font>
      </dxf>
    </rfmt>
    <rcc rId="0" sId="1" dxf="1">
      <nc r="A816" t="inlineStr">
        <is>
          <t>Бюджетные инвестиции на приобретение объектов недвижимого имущества в государственную (муниципальную) собственность</t>
        </is>
      </nc>
      <ndxf>
        <fill>
          <patternFill patternType="solid">
            <bgColor theme="0"/>
          </patternFill>
        </fill>
        <alignment horizontal="justify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816" t="inlineStr">
        <is>
          <t>61 1 00 R0820</t>
        </is>
      </nc>
      <ndxf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C816" t="inlineStr">
        <is>
          <t>412</t>
        </is>
      </nc>
      <ndxf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D816" start="0" length="0">
      <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="1" sqref="E816" start="0" length="0">
      <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="1" sqref="F816" start="0" length="0">
      <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1" sqref="G816" start="0" length="0">
      <dxf>
        <fill>
          <patternFill patternType="solid">
            <bgColor theme="0"/>
          </patternFill>
        </fill>
      </dxf>
    </rfmt>
    <rfmt sheetId="1" sqref="H816" start="0" length="0">
      <dxf>
        <fill>
          <patternFill patternType="solid">
            <bgColor theme="0"/>
          </patternFill>
        </fill>
      </dxf>
    </rfmt>
    <rfmt sheetId="1" sqref="I816" start="0" length="0">
      <dxf>
        <fill>
          <patternFill patternType="solid">
            <bgColor theme="0"/>
          </patternFill>
        </fill>
      </dxf>
    </rfmt>
  </rrc>
  <rcc rId="5273" sId="1">
    <oc r="D815">
      <f>#REF!+D820+D824+D816</f>
    </oc>
    <nc r="D815">
      <f>D820+D824+D816</f>
    </nc>
  </rcc>
  <rcc rId="5274" sId="1">
    <oc r="E814">
      <f>E815+E828+E833</f>
    </oc>
    <nc r="E814">
      <f>E815+E828+E833</f>
    </nc>
  </rcc>
  <rcc rId="5275" sId="1">
    <oc r="F814">
      <f>F815+F828+F833</f>
    </oc>
    <nc r="F814">
      <f>F815+F828+F833</f>
    </nc>
  </rcc>
  <rcc rId="5276" sId="1">
    <oc r="E815">
      <f>#REF!+E820+E824+E816</f>
    </oc>
    <nc r="E815">
      <f>E820+E824+E816</f>
    </nc>
  </rcc>
  <rcc rId="5277" sId="1">
    <oc r="F815">
      <f>#REF!+F820+F824+F816</f>
    </oc>
    <nc r="F815">
      <f>F820+F824+F816</f>
    </nc>
  </rcc>
  <rdn rId="0" localSheetId="1" customView="1" name="Z_D9B90A86_BE39_4FED_8226_084809D277F3_.wvu.Rows" hidden="1" oldHidden="1">
    <oldFormula>'программы '!$28:$31,'программы '!#REF!,'программы '!#REF!,'программы '!#REF!,'программы '!#REF!,'программы '!#REF!,'программы '!#REF!,'программы '!#REF!,'программы '!#REF!,'программы '!#REF!,'программы '!#REF!,'программы '!#REF!,'программы '!#REF!,'программы '!#REF!,'программы '!#REF!,'программы '!#REF!,'программы '!$872:$874</oldFormula>
  </rdn>
  <rcv guid="{D9B90A86-BE39-4FED-8226-084809D277F3}" action="delete"/>
  <rdn rId="0" localSheetId="1" customView="1" name="Z_D9B90A86_BE39_4FED_8226_084809D277F3_.wvu.PrintArea" hidden="1" oldHidden="1">
    <formula>'программы '!$A$1:$F$920</formula>
    <oldFormula>'программы '!$A$1:$F$920</oldFormula>
  </rdn>
  <rdn rId="0" localSheetId="1" customView="1" name="Z_D9B90A86_BE39_4FED_8226_084809D277F3_.wvu.FilterData" hidden="1" oldHidden="1">
    <formula>'программы '!$B$1:$B$928</formula>
    <oldFormula>'программы '!$C$1:$C$928</oldFormula>
  </rdn>
  <rcv guid="{D9B90A86-BE39-4FED-8226-084809D277F3}" action="add"/>
</revisions>
</file>

<file path=xl/revisions/revisionLog1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281" sId="1" ref="A872:XFD872" action="deleteRow">
    <undo index="5" exp="ref" v="1" dr="F872" r="F862" sId="1"/>
    <undo index="5" exp="ref" v="1" dr="E872" r="E862" sId="1"/>
    <undo index="5" exp="ref" v="1" dr="D872" r="D862" sId="1"/>
    <rfmt sheetId="1" xfDxf="1" sqref="A872:XFD872" start="0" length="0">
      <dxf>
        <font>
          <i/>
          <name val="Times New Roman"/>
          <scheme val="none"/>
        </font>
        <fill>
          <patternFill patternType="solid">
            <bgColor theme="6" tint="0.59999389629810485"/>
          </patternFill>
        </fill>
        <alignment vertical="center" readingOrder="0"/>
      </dxf>
    </rfmt>
    <rcc rId="0" sId="1" dxf="1">
      <nc r="A872" t="inlineStr">
        <is>
          <t>Оказание содействия в подготовке и проведении выборов Президента Российской Федерации и информирования избирателей</t>
        </is>
      </nc>
      <ndxf>
        <font>
          <i val="0"/>
          <name val="Times New Roman"/>
          <scheme val="none"/>
        </font>
        <fill>
          <patternFill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72" t="inlineStr">
        <is>
          <t>64 0 00 81170</t>
        </is>
      </nc>
      <ndxf>
        <font>
          <i val="0"/>
          <name val="Times New Roman"/>
          <scheme val="none"/>
        </font>
        <numFmt numFmtId="30" formatCode="@"/>
        <fill>
          <patternFill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872" start="0" length="0">
      <dxf>
        <font>
          <i val="0"/>
          <name val="Times New Roman"/>
          <scheme val="none"/>
        </font>
        <fill>
          <patternFill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s="1" dxf="1">
      <nc r="D872">
        <f>D873</f>
      </nc>
      <ndxf>
        <font>
          <i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72">
        <f>E873</f>
      </nc>
      <ndxf>
        <font>
          <i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872">
        <f>F873</f>
      </nc>
      <ndxf>
        <font>
          <i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872" start="0" length="0">
      <dxf>
        <fill>
          <patternFill>
            <bgColor theme="0"/>
          </patternFill>
        </fill>
      </dxf>
    </rfmt>
    <rfmt sheetId="1" sqref="H872" start="0" length="0">
      <dxf>
        <fill>
          <patternFill>
            <bgColor theme="0"/>
          </patternFill>
        </fill>
      </dxf>
    </rfmt>
    <rfmt sheetId="1" sqref="I872" start="0" length="0">
      <dxf>
        <fill>
          <patternFill>
            <bgColor theme="0"/>
          </patternFill>
        </fill>
      </dxf>
    </rfmt>
  </rrc>
  <rrc rId="5282" sId="1" ref="A872:XFD872" action="deleteRow">
    <rfmt sheetId="1" xfDxf="1" sqref="A872:XFD872" start="0" length="0">
      <dxf>
        <font>
          <i/>
          <name val="Times New Roman"/>
          <scheme val="none"/>
        </font>
        <fill>
          <patternFill patternType="solid">
            <bgColor theme="6" tint="0.59999389629810485"/>
          </patternFill>
        </fill>
        <alignment vertical="center" readingOrder="0"/>
      </dxf>
    </rfmt>
    <rcc rId="0" sId="1" dxf="1">
      <nc r="A872" t="inlineStr">
        <is>
          <t xml:space="preserve">Иные бюджетные ассигнования </t>
        </is>
      </nc>
      <ndxf>
        <font>
          <i val="0"/>
          <name val="Times New Roman"/>
          <scheme val="none"/>
        </font>
        <fill>
          <patternFill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72" t="inlineStr">
        <is>
          <t>64 0 00 81170</t>
        </is>
      </nc>
      <ndxf>
        <font>
          <i val="0"/>
          <name val="Times New Roman"/>
          <scheme val="none"/>
        </font>
        <numFmt numFmtId="30" formatCode="@"/>
        <fill>
          <patternFill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72" t="inlineStr">
        <is>
          <t>800</t>
        </is>
      </nc>
      <ndxf>
        <font>
          <i val="0"/>
          <name val="Times New Roman"/>
          <scheme val="none"/>
        </font>
        <fill>
          <patternFill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>
      <nc r="D872">
        <f>D873</f>
      </nc>
      <ndxf>
        <font>
          <i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72">
        <f>E873</f>
      </nc>
      <ndxf>
        <font>
          <i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872">
        <f>F873</f>
      </nc>
      <ndxf>
        <font>
          <i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872" start="0" length="0">
      <dxf>
        <fill>
          <patternFill>
            <bgColor theme="0"/>
          </patternFill>
        </fill>
      </dxf>
    </rfmt>
    <rfmt sheetId="1" sqref="H872" start="0" length="0">
      <dxf>
        <fill>
          <patternFill>
            <bgColor theme="0"/>
          </patternFill>
        </fill>
      </dxf>
    </rfmt>
    <rfmt sheetId="1" sqref="I872" start="0" length="0">
      <dxf>
        <fill>
          <patternFill>
            <bgColor theme="0"/>
          </patternFill>
        </fill>
      </dxf>
    </rfmt>
  </rrc>
  <rrc rId="5283" sId="1" ref="A872:XFD872" action="deleteRow">
    <rfmt sheetId="1" xfDxf="1" sqref="A872:XFD872" start="0" length="0">
      <dxf>
        <font>
          <i/>
          <name val="Times New Roman"/>
          <scheme val="none"/>
        </font>
        <fill>
          <patternFill patternType="solid">
            <bgColor theme="6" tint="0.59999389629810485"/>
          </patternFill>
        </fill>
        <alignment vertical="center" readingOrder="0"/>
      </dxf>
    </rfmt>
    <rcc rId="0" sId="1" dxf="1">
      <nc r="A872" t="inlineStr">
        <is>
          <t>Специальные расходы</t>
        </is>
      </nc>
      <ndxf>
        <font>
          <i val="0"/>
          <name val="Times New Roman"/>
          <scheme val="none"/>
        </font>
        <fill>
          <patternFill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872" t="inlineStr">
        <is>
          <t>64 0 00 81170</t>
        </is>
      </nc>
      <ndxf>
        <font>
          <i val="0"/>
          <name val="Times New Roman"/>
          <scheme val="none"/>
        </font>
        <numFmt numFmtId="30" formatCode="@"/>
        <fill>
          <patternFill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872" t="inlineStr">
        <is>
          <t>880</t>
        </is>
      </nc>
      <ndxf>
        <font>
          <i val="0"/>
          <name val="Times New Roman"/>
          <scheme val="none"/>
        </font>
        <fill>
          <patternFill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s="1" dxf="1" numFmtId="34">
      <nc r="D872">
        <v>0</v>
      </nc>
      <ndxf>
        <font>
          <i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872" start="0" length="0">
      <dxf>
        <font>
          <i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72" start="0" length="0">
      <dxf>
        <font>
          <i val="0"/>
          <sz val="10"/>
          <color auto="1"/>
          <name val="Times New Roman"/>
          <scheme val="none"/>
        </font>
        <numFmt numFmtId="164" formatCode="_-* #,##0.00_р_._-;\-* #,##0.00_р_._-;_-* &quot;-&quot;??_р_._-;_-@_-"/>
        <fill>
          <patternFill>
            <bgColor theme="0"/>
          </patternFill>
        </fill>
        <border outline="0">
          <right style="thin">
            <color indexed="64"/>
          </right>
          <bottom style="thin">
            <color indexed="64"/>
          </bottom>
        </border>
      </dxf>
    </rfmt>
    <rfmt sheetId="1" sqref="G872" start="0" length="0">
      <dxf>
        <fill>
          <patternFill>
            <bgColor theme="0"/>
          </patternFill>
        </fill>
      </dxf>
    </rfmt>
    <rfmt sheetId="1" sqref="H872" start="0" length="0">
      <dxf>
        <fill>
          <patternFill>
            <bgColor theme="0"/>
          </patternFill>
        </fill>
      </dxf>
    </rfmt>
    <rfmt sheetId="1" sqref="I872" start="0" length="0">
      <dxf>
        <fill>
          <patternFill>
            <bgColor theme="0"/>
          </patternFill>
        </fill>
      </dxf>
    </rfmt>
  </rrc>
  <rcc rId="5284" sId="1">
    <oc r="D862">
      <f>D864+D866+D869+#REF!</f>
    </oc>
    <nc r="D862">
      <f>D864+D866+D869</f>
    </nc>
  </rcc>
  <rcc rId="5285" sId="1">
    <oc r="E862">
      <f>E864+E866+E869+#REF!</f>
    </oc>
    <nc r="E862">
      <f>E864+E866+E869</f>
    </nc>
  </rcc>
  <rcc rId="5286" sId="1">
    <oc r="F862">
      <f>F864+F866+F869+#REF!</f>
    </oc>
    <nc r="F862">
      <f>F864+F866+F869</f>
    </nc>
  </rcc>
</revisions>
</file>

<file path=xl/revisions/revisionLog1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87" sId="1">
    <oc r="F4" t="inlineStr">
      <is>
        <t xml:space="preserve">от                  сентября 2024 года №   </t>
      </is>
    </oc>
    <nc r="F4" t="inlineStr">
      <is>
        <t xml:space="preserve">от                  ноября 2024 года №   </t>
      </is>
    </nc>
  </rcc>
</revisions>
</file>

<file path=xl/revisions/revisionLog1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88" sId="1">
    <oc r="B15" t="inlineStr">
      <is>
        <t>Цлевая статья</t>
      </is>
    </oc>
    <nc r="B15" t="inlineStr">
      <is>
        <t>Целевая статья</t>
      </is>
    </nc>
  </rcc>
</revisions>
</file>

<file path=xl/revisions/revisionLog1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9B90A86-BE39-4FED-8226-084809D277F3}" action="delete"/>
  <rdn rId="0" localSheetId="1" customView="1" name="Z_D9B90A86_BE39_4FED_8226_084809D277F3_.wvu.PrintArea" hidden="1" oldHidden="1">
    <formula>'программы '!$A$1:$F$917</formula>
    <oldFormula>'программы '!$A$1:$F$917</oldFormula>
  </rdn>
  <rdn rId="0" localSheetId="1" customView="1" name="Z_D9B90A86_BE39_4FED_8226_084809D277F3_.wvu.FilterData" hidden="1" oldHidden="1">
    <formula>'программы '!$C$1:$C$925</formula>
    <oldFormula>'программы '!$B$1:$B$925</oldFormula>
  </rdn>
  <rcv guid="{D9B90A86-BE39-4FED-8226-084809D277F3}" action="add"/>
</revisions>
</file>

<file path=xl/revisions/revisionLog1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291" sId="1" ref="A28:XFD28" action="deleteRow">
    <undo index="3" exp="ref" v="1" dr="F28" r="F23" sId="1"/>
    <undo index="3" exp="ref" v="1" dr="E28" r="E23" sId="1"/>
    <undo index="3" exp="ref" v="1" dr="D28" r="D23" sId="1"/>
    <undo index="0" exp="area" ref3D="1" dr="$A$298:$XFD$306" dn="Z_30E81E54_DD45_4653_9DCD_548F6723F554_.wvu.Rows" sId="1"/>
    <rfmt sheetId="1" xfDxf="1" sqref="A28:XFD28" start="0" length="0">
      <dxf>
        <font>
          <name val="Times New Roman"/>
          <scheme val="none"/>
        </font>
      </dxf>
    </rfmt>
    <rcc rId="0" sId="1" dxf="1">
      <nc r="A28" t="inlineStr">
        <is>
          <t>Ремонт автомобильных дорог общего пользования местного значения в муниципальных районах и городских округах Архангельской области (дорожный фонд Архангельской области)</t>
        </is>
      </nc>
      <ndxf>
        <fill>
          <patternFill patternType="solid">
            <bgColor theme="0"/>
          </patternFill>
        </fill>
        <alignment horizontal="justify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28" t="inlineStr">
        <is>
          <t>02 0 00 S875Д</t>
        </is>
      </nc>
      <ndxf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bottom style="thin">
            <color indexed="64"/>
          </bottom>
        </border>
      </ndxf>
    </rcc>
    <rfmt sheetId="1" sqref="C28" start="0" length="0">
      <dxf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cc rId="0" sId="1" s="1" dxf="1">
      <nc r="D28">
        <f>D30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8">
        <f>E30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28">
        <f>F30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8" start="0" length="0">
      <dxf>
        <fill>
          <patternFill patternType="solid">
            <bgColor theme="0"/>
          </patternFill>
        </fill>
      </dxf>
    </rfmt>
    <rfmt sheetId="1" sqref="H28" start="0" length="0">
      <dxf>
        <fill>
          <patternFill patternType="solid">
            <bgColor theme="0"/>
          </patternFill>
        </fill>
      </dxf>
    </rfmt>
    <rfmt sheetId="1" sqref="I28" start="0" length="0">
      <dxf>
        <fill>
          <patternFill patternType="solid">
            <bgColor theme="0"/>
          </patternFill>
        </fill>
      </dxf>
    </rfmt>
  </rrc>
  <rrc rId="5292" sId="1" ref="A28:XFD28" action="deleteRow">
    <undo index="0" exp="area" ref3D="1" dr="$A$297:$XFD$305" dn="Z_30E81E54_DD45_4653_9DCD_548F6723F554_.wvu.Rows" sId="1"/>
    <rfmt sheetId="1" xfDxf="1" sqref="A28:XFD28" start="0" length="0">
      <dxf>
        <font>
          <name val="Times New Roman"/>
          <scheme val="none"/>
        </font>
      </dxf>
    </rfmt>
    <rcc rId="0" sId="1" dxf="1">
      <nc r="A28" t="inlineStr">
        <is>
          <t>Закупка товаров, работ и услуг для обеспечения государственных (муниципальных) нужд</t>
        </is>
      </nc>
      <ndxf>
        <fill>
          <patternFill patternType="solid">
            <bgColor theme="0"/>
          </patternFill>
        </fill>
        <alignment horizontal="justify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28" t="inlineStr">
        <is>
          <t>02 0 00 S875Д</t>
        </is>
      </nc>
      <ndxf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bottom style="thin">
            <color indexed="64"/>
          </bottom>
        </border>
      </ndxf>
    </rcc>
    <rcc rId="0" sId="1" dxf="1">
      <nc r="C28" t="inlineStr">
        <is>
          <t>200</t>
        </is>
      </nc>
      <ndxf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28">
        <f>D29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8">
        <f>E29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28">
        <f>F29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8" start="0" length="0">
      <dxf>
        <fill>
          <patternFill patternType="solid">
            <bgColor theme="0"/>
          </patternFill>
        </fill>
      </dxf>
    </rfmt>
    <rfmt sheetId="1" sqref="H28" start="0" length="0">
      <dxf>
        <fill>
          <patternFill patternType="solid">
            <bgColor theme="0"/>
          </patternFill>
        </fill>
      </dxf>
    </rfmt>
    <rfmt sheetId="1" sqref="I28" start="0" length="0">
      <dxf>
        <fill>
          <patternFill patternType="solid">
            <bgColor theme="0"/>
          </patternFill>
        </fill>
      </dxf>
    </rfmt>
  </rrc>
  <rrc rId="5293" sId="1" ref="A28:XFD28" action="deleteRow">
    <undo index="0" exp="area" ref3D="1" dr="$A$296:$XFD$304" dn="Z_30E81E54_DD45_4653_9DCD_548F6723F554_.wvu.Rows" sId="1"/>
    <rfmt sheetId="1" xfDxf="1" sqref="A28:XFD28" start="0" length="0">
      <dxf>
        <font>
          <name val="Times New Roman"/>
          <scheme val="none"/>
        </font>
      </dxf>
    </rfmt>
    <rcc rId="0" sId="1" dxf="1">
      <nc r="A28" t="inlineStr">
        <is>
          <t>Иные закупки товаров,работ и услуг для обеспечения государственных (муниципальных) нужд</t>
        </is>
      </nc>
      <ndxf>
        <fill>
          <patternFill patternType="solid">
            <bgColor theme="0"/>
          </patternFill>
        </fill>
        <alignment horizontal="justify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28" t="inlineStr">
        <is>
          <t>02 0 00 S875Д</t>
        </is>
      </nc>
      <ndxf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bottom style="thin">
            <color indexed="64"/>
          </bottom>
        </border>
      </ndxf>
    </rcc>
    <rcc rId="0" sId="1" dxf="1">
      <nc r="C28" t="inlineStr">
        <is>
          <t>240</t>
        </is>
      </nc>
      <ndxf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D28">
        <f>D29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8">
        <f>E29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28">
        <f>F29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8" start="0" length="0">
      <dxf>
        <fill>
          <patternFill patternType="solid">
            <bgColor theme="0"/>
          </patternFill>
        </fill>
      </dxf>
    </rfmt>
    <rfmt sheetId="1" sqref="H28" start="0" length="0">
      <dxf>
        <fill>
          <patternFill patternType="solid">
            <bgColor theme="0"/>
          </patternFill>
        </fill>
      </dxf>
    </rfmt>
    <rfmt sheetId="1" sqref="I28" start="0" length="0">
      <dxf>
        <fill>
          <patternFill patternType="solid">
            <bgColor theme="0"/>
          </patternFill>
        </fill>
      </dxf>
    </rfmt>
  </rrc>
  <rrc rId="5294" sId="1" ref="A28:XFD28" action="deleteRow">
    <undo index="0" exp="area" ref3D="1" dr="$A$295:$XFD$303" dn="Z_30E81E54_DD45_4653_9DCD_548F6723F554_.wvu.Rows" sId="1"/>
    <rfmt sheetId="1" xfDxf="1" sqref="A28:XFD28" start="0" length="0">
      <dxf>
        <font>
          <name val="Times New Roman"/>
          <scheme val="none"/>
        </font>
      </dxf>
    </rfmt>
    <rcc rId="0" sId="1" dxf="1">
      <nc r="A28" t="inlineStr">
        <is>
          <t xml:space="preserve">Прочая закупка товаров, работ и услуг </t>
        </is>
      </nc>
      <ndxf>
        <fill>
          <patternFill patternType="solid">
            <bgColor theme="0"/>
          </patternFill>
        </fill>
        <alignment horizontal="justify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28" t="inlineStr">
        <is>
          <t>02 0 00 S875Д</t>
        </is>
      </nc>
      <ndxf>
        <numFmt numFmtId="30" formatCode="@"/>
        <fill>
          <patternFill patternType="solid">
            <bgColor theme="0"/>
          </patternFill>
        </fill>
        <alignment horizontal="center" vertical="top" readingOrder="0"/>
        <border outline="0">
          <bottom style="thin">
            <color indexed="64"/>
          </bottom>
        </border>
      </ndxf>
    </rcc>
    <rcc rId="0" sId="1" dxf="1">
      <nc r="C28" t="inlineStr">
        <is>
          <t>244</t>
        </is>
      </nc>
      <ndxf>
        <numFmt numFmtId="30" formatCode="@"/>
        <fill>
          <patternFill patternType="solid">
            <bgColor theme="0"/>
          </patternFill>
        </fill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D28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8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F28">
        <v>0</v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28" start="0" length="0">
      <dxf>
        <fill>
          <patternFill patternType="solid">
            <bgColor theme="0"/>
          </patternFill>
        </fill>
      </dxf>
    </rfmt>
    <rfmt sheetId="1" sqref="H28" start="0" length="0">
      <dxf>
        <fill>
          <patternFill patternType="solid">
            <bgColor theme="0"/>
          </patternFill>
        </fill>
      </dxf>
    </rfmt>
    <rfmt sheetId="1" sqref="I28" start="0" length="0">
      <dxf>
        <fill>
          <patternFill patternType="solid">
            <bgColor theme="0"/>
          </patternFill>
        </fill>
      </dxf>
    </rfmt>
  </rrc>
  <rcc rId="5295" sId="1">
    <oc r="D23">
      <f>D28+D24+#REF!+D32</f>
    </oc>
    <nc r="D23">
      <f>D28+D24+D32</f>
    </nc>
  </rcc>
  <rcc rId="5296" sId="1">
    <oc r="E23">
      <f>E28+E24+#REF!+E32</f>
    </oc>
    <nc r="E23">
      <f>E28+E24+E32</f>
    </nc>
  </rcc>
  <rcc rId="5297" sId="1">
    <oc r="F23">
      <f>F28+F24+#REF!+F32</f>
    </oc>
    <nc r="F23">
      <f>F28+F24+F32</f>
    </nc>
  </rcc>
</revisions>
</file>

<file path=xl/revisions/revisionLog1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98" sId="1">
    <oc r="D255">
      <f>4772643.2+40062+226164.2+100000</f>
    </oc>
    <nc r="D255">
      <f>4772643.2+40062+226164.2+100000+200000</f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25" sId="1">
    <oc r="D602">
      <f>16008611.71-2100000</f>
    </oc>
    <nc r="D602">
      <f>16008611.71-2100000+3285769.73</f>
    </nc>
  </rcc>
  <rcv guid="{30E81E54-DD45-4653-9DCD-548F6723F554}" action="delete"/>
  <rdn rId="0" localSheetId="1" customView="1" name="Z_30E81E54_DD45_4653_9DCD_548F6723F554_.wvu.PrintArea" hidden="1" oldHidden="1">
    <formula>'программы '!$A$1:$F$748</formula>
    <oldFormula>'программы '!$A$1:$F$748</oldFormula>
  </rdn>
  <rdn rId="0" localSheetId="1" customView="1" name="Z_30E81E54_DD45_4653_9DCD_548F6723F554_.wvu.Rows" hidden="1" oldHidden="1">
    <formula>'программы '!$230:$234</formula>
    <oldFormula>'программы '!$230:$234</oldFormula>
  </rdn>
  <rdn rId="0" localSheetId="1" customView="1" name="Z_30E81E54_DD45_4653_9DCD_548F6723F554_.wvu.FilterData" hidden="1" oldHidden="1">
    <formula>'программы '!$A$1:$A$761</formula>
    <oldFormula>'программы '!$B$1:$B$756</oldFormula>
  </rdn>
  <rcv guid="{30E81E54-DD45-4653-9DCD-548F6723F554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53" sId="1">
    <oc r="B67" t="inlineStr">
      <is>
        <t>03 2 00 53030</t>
      </is>
    </oc>
    <nc r="B67" t="inlineStr">
      <is>
        <t>03 2 00 R3032</t>
      </is>
    </nc>
  </rcc>
  <rcc rId="2854" sId="1">
    <oc r="B68" t="inlineStr">
      <is>
        <t>03 2 00 53030</t>
      </is>
    </oc>
    <nc r="B68" t="inlineStr">
      <is>
        <t>03 2 00 R3032</t>
      </is>
    </nc>
  </rcc>
  <rcc rId="2855" sId="1">
    <oc r="B69" t="inlineStr">
      <is>
        <t>03 2 00 53030</t>
      </is>
    </oc>
    <nc r="B69" t="inlineStr">
      <is>
        <t>03 2 00 R3032</t>
      </is>
    </nc>
  </rcc>
  <rcc rId="2856" sId="1">
    <oc r="B70" t="inlineStr">
      <is>
        <t>03 2 00 53030</t>
      </is>
    </oc>
    <nc r="B70" t="inlineStr">
      <is>
        <t>03 2 00 R3032</t>
      </is>
    </nc>
  </rcc>
</revisions>
</file>

<file path=xl/revisions/revisionLog2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99" sId="1" numFmtId="34">
    <oc r="D766">
      <v>93421</v>
    </oc>
    <nc r="D766">
      <f>93421-22158</f>
    </nc>
  </rcc>
</revisions>
</file>

<file path=xl/revisions/revisionLog2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00" sId="1">
    <oc r="D746">
      <f>2883700+70000-2111604.31+267000</f>
    </oc>
    <nc r="D746">
      <f>2883700+70000-2111604.31+267000-262984.84</f>
    </nc>
  </rcc>
</revisions>
</file>

<file path=xl/revisions/revisionLog2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301" sId="1" ref="A382:XFD382" action="insertRow"/>
  <rrc rId="5302" sId="1" ref="A382:XFD382" action="insertRow"/>
  <rrc rId="5303" sId="1" ref="A382:XFD382" action="insertRow"/>
  <rrc rId="5304" sId="1" ref="A382:XFD382" action="insertRow"/>
  <rcc rId="5305" sId="1">
    <nc r="B382" t="inlineStr">
      <is>
        <t>08 0 00 83053</t>
      </is>
    </nc>
  </rcc>
  <rcc rId="5306" sId="1">
    <nc r="B383" t="inlineStr">
      <is>
        <t>08 0 00 83053</t>
      </is>
    </nc>
  </rcc>
  <rcc rId="5307" sId="1">
    <nc r="B384" t="inlineStr">
      <is>
        <t>08 0 00 83053</t>
      </is>
    </nc>
  </rcc>
  <rcc rId="5308" sId="1">
    <nc r="B385" t="inlineStr">
      <is>
        <t>08 0 00 83053</t>
      </is>
    </nc>
  </rcc>
  <rcc rId="5309" sId="1">
    <nc r="C385" t="inlineStr">
      <is>
        <t>811</t>
      </is>
    </nc>
  </rcc>
  <rcc rId="5310" sId="1">
    <nc r="C384" t="inlineStr">
      <is>
        <t>810</t>
      </is>
    </nc>
  </rcc>
  <rcc rId="5311" sId="1">
    <nc r="C383" t="inlineStr">
      <is>
        <t>800</t>
      </is>
    </nc>
  </rcc>
  <rcc rId="5312" sId="1">
    <nc r="A385" t="inlineStr">
      <is>
        <t>Субсидии на возмещение недополученных доходов или возмещение фактически понесенных затрат в связи с производством (реализацией) товаров, выполнением работ, оказанием услуг</t>
      </is>
    </nc>
  </rcc>
  <rcc rId="5313" sId="1">
    <nc r="A384" t="inlineStr">
      <is>
        <t>Субсидии юридическим лицам (кроме некомерческих организаций), индивидуальным предпринимателям, физическим лицам - производителям товаров, работ, услуг</t>
      </is>
    </nc>
  </rcc>
  <rcc rId="5314" sId="1">
    <nc r="A383" t="inlineStr">
      <is>
        <t xml:space="preserve">Иные бюджетные ассигнования </t>
      </is>
    </nc>
  </rcc>
  <rcc rId="5315" sId="1" xfDxf="1" dxf="1">
    <nc r="A382" t="inlineStr">
      <is>
        <t>Возмещение МУП "АТП "Плесецкое" фактически понесенных затрат на обеспечение бесплатного проезда в автомобильном транспорте общего пользования по городскому муниципальному маршруту гражданам, проживающим на территории Плесецкого муниципального округа и достигшим возраста 75 лет и старше, не относящимся к отдельным категориям граждан, установленным статьями 2 и 4 Федерального закона от 12.01.1995 №5-ФЗ "О ветеранах" в 2024 году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5316" sId="1">
    <nc r="D384">
      <f>D385</f>
    </nc>
  </rcc>
  <rcc rId="5317" sId="1">
    <nc r="E384">
      <f>E385</f>
    </nc>
  </rcc>
  <rcc rId="5318" sId="1">
    <nc r="F384">
      <f>F385</f>
    </nc>
  </rcc>
  <rcc rId="5319" sId="1">
    <nc r="D382">
      <f>D383</f>
    </nc>
  </rcc>
  <rcc rId="5320" sId="1">
    <nc r="E382">
      <f>E383</f>
    </nc>
  </rcc>
  <rcc rId="5321" sId="1">
    <nc r="F382">
      <f>F383</f>
    </nc>
  </rcc>
  <rcc rId="5322" sId="1">
    <nc r="D383">
      <f>D384</f>
    </nc>
  </rcc>
  <rcc rId="5323" sId="1">
    <nc r="E383">
      <f>E384</f>
    </nc>
  </rcc>
  <rcc rId="5324" sId="1">
    <nc r="F383">
      <f>F384</f>
    </nc>
  </rcc>
  <rcc rId="5325" sId="1" numFmtId="34">
    <nc r="D385">
      <v>97305.96</v>
    </nc>
  </rcc>
  <rcc rId="5326" sId="1" numFmtId="34">
    <oc r="D381">
      <v>191145.96</v>
    </oc>
    <nc r="D381">
      <v>93840</v>
    </nc>
  </rcc>
  <rcc rId="5327" sId="1">
    <oc r="D360">
      <f>D361+D369+D374+D378+D365</f>
    </oc>
    <nc r="D360">
      <f>D361+D369+D374+D378+D365+D382</f>
    </nc>
  </rcc>
  <rcc rId="5328" sId="1">
    <oc r="E360">
      <f>E361+E369+E374+E378+E365</f>
    </oc>
    <nc r="E360">
      <f>E361+E369+E374+E378+E365+E382</f>
    </nc>
  </rcc>
  <rcc rId="5329" sId="1">
    <oc r="F360">
      <f>F361+F369+F374+F378+F365</f>
    </oc>
    <nc r="F360">
      <f>F361+F369+F374+F378+F365+F382</f>
    </nc>
  </rcc>
  <rcv guid="{D9B90A86-BE39-4FED-8226-084809D277F3}" action="delete"/>
  <rdn rId="0" localSheetId="1" customView="1" name="Z_D9B90A86_BE39_4FED_8226_084809D277F3_.wvu.PrintArea" hidden="1" oldHidden="1">
    <formula>'программы '!$A$1:$F$917</formula>
    <oldFormula>'программы '!$A$1:$F$917</oldFormula>
  </rdn>
  <rdn rId="0" localSheetId="1" customView="1" name="Z_D9B90A86_BE39_4FED_8226_084809D277F3_.wvu.FilterData" hidden="1" oldHidden="1">
    <formula>'программы '!$C$1:$C$925</formula>
    <oldFormula>'программы '!$C$1:$C$925</oldFormula>
  </rdn>
  <rcv guid="{D9B90A86-BE39-4FED-8226-084809D277F3}" action="add"/>
</revisions>
</file>

<file path=xl/revisions/revisionLog2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32" sId="1" numFmtId="34">
    <oc r="D44">
      <v>14808000</v>
    </oc>
    <nc r="D44">
      <v>16665000</v>
    </nc>
  </rcc>
  <rcc rId="5333" sId="1" numFmtId="34">
    <oc r="E44">
      <v>15817400</v>
    </oc>
    <nc r="E44">
      <v>7240725.2699999996</v>
    </nc>
  </rcc>
  <rcc rId="5334" sId="1" numFmtId="34">
    <oc r="F44">
      <v>15817400</v>
    </oc>
    <nc r="F44">
      <v>6939482.9500000002</v>
    </nc>
  </rcc>
  <rcv guid="{D9B90A86-BE39-4FED-8226-084809D277F3}" action="delete"/>
  <rdn rId="0" localSheetId="1" customView="1" name="Z_D9B90A86_BE39_4FED_8226_084809D277F3_.wvu.PrintArea" hidden="1" oldHidden="1">
    <formula>'программы '!$A$1:$F$917</formula>
    <oldFormula>'программы '!$A$1:$F$917</oldFormula>
  </rdn>
  <rdn rId="0" localSheetId="1" customView="1" name="Z_D9B90A86_BE39_4FED_8226_084809D277F3_.wvu.FilterData" hidden="1" oldHidden="1">
    <formula>'программы '!$C$1:$C$925</formula>
    <oldFormula>'программы '!$C$1:$C$925</oldFormula>
  </rdn>
  <rcv guid="{D9B90A86-BE39-4FED-8226-084809D277F3}" action="add"/>
</revisions>
</file>

<file path=xl/revisions/revisionLog2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37" sId="1" numFmtId="34">
    <oc r="D60">
      <v>1290000</v>
    </oc>
    <nc r="D60">
      <v>1198963.8799999999</v>
    </nc>
  </rcc>
  <rcv guid="{D9B90A86-BE39-4FED-8226-084809D277F3}" action="delete"/>
  <rdn rId="0" localSheetId="1" customView="1" name="Z_D9B90A86_BE39_4FED_8226_084809D277F3_.wvu.PrintArea" hidden="1" oldHidden="1">
    <formula>'программы '!$A$1:$F$917</formula>
    <oldFormula>'программы '!$A$1:$F$917</oldFormula>
  </rdn>
  <rdn rId="0" localSheetId="1" customView="1" name="Z_D9B90A86_BE39_4FED_8226_084809D277F3_.wvu.FilterData" hidden="1" oldHidden="1">
    <formula>'программы '!$C$1:$C$925</formula>
    <oldFormula>'программы '!$C$1:$C$925</oldFormula>
  </rdn>
  <rcv guid="{D9B90A86-BE39-4FED-8226-084809D277F3}" action="add"/>
</revisions>
</file>

<file path=xl/revisions/revisionLog2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340" sId="1" ref="A71:XFD71" action="insertRow">
    <undo index="0" exp="area" ref3D="1" dr="$A$294:$XFD$302" dn="Z_30E81E54_DD45_4653_9DCD_548F6723F554_.wvu.Rows" sId="1"/>
  </rrc>
  <rrc rId="5341" sId="1" ref="A71:XFD71" action="insertRow">
    <undo index="0" exp="area" ref3D="1" dr="$A$295:$XFD$303" dn="Z_30E81E54_DD45_4653_9DCD_548F6723F554_.wvu.Rows" sId="1"/>
  </rrc>
  <rrc rId="5342" sId="1" ref="A71:XFD71" action="insertRow">
    <undo index="0" exp="area" ref3D="1" dr="$A$296:$XFD$304" dn="Z_30E81E54_DD45_4653_9DCD_548F6723F554_.wvu.Rows" sId="1"/>
  </rrc>
  <rrc rId="5343" sId="1" ref="A71:XFD71" action="insertRow">
    <undo index="0" exp="area" ref3D="1" dr="$A$297:$XFD$305" dn="Z_30E81E54_DD45_4653_9DCD_548F6723F554_.wvu.Rows" sId="1"/>
  </rrc>
  <rcc rId="5344" sId="1" numFmtId="34">
    <nc r="C74">
      <v>612</v>
    </nc>
  </rcc>
  <rcc rId="5345" sId="1" numFmtId="34">
    <nc r="C73">
      <v>610</v>
    </nc>
  </rcc>
  <rcc rId="5346" sId="1" numFmtId="34">
    <nc r="C72">
      <v>600</v>
    </nc>
  </rcc>
  <rfmt sheetId="1" sqref="A71:F74" start="0" length="2147483647">
    <dxf>
      <font>
        <b val="0"/>
      </font>
    </dxf>
  </rfmt>
  <rcc rId="5347" sId="1">
    <nc r="A74" t="inlineStr">
      <is>
        <t>Субсидии бюджетным учреждениям на  иные цели</t>
      </is>
    </nc>
  </rcc>
  <rcc rId="5348" sId="1">
    <nc r="A73" t="inlineStr">
      <is>
        <t>Субсидии бюджетным учреждениям</t>
      </is>
    </nc>
  </rcc>
  <rcc rId="5349" sId="1">
    <nc r="A72" t="inlineStr">
      <is>
        <t>Предоставление субсидий бюджетным, автономным учреждениям и иным некоммерческим организациям</t>
      </is>
    </nc>
  </rcc>
  <rcc rId="5350" sId="1">
    <nc r="A71" t="inlineStr">
      <is>
    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г.Байконура и федеральной территории "Сириус", муниципальных общеобразовательных организаций и профессиональных образовательных организаций</t>
      </is>
    </nc>
  </rcc>
  <rcc rId="5351" sId="1">
    <nc r="B74" t="inlineStr">
      <is>
        <t>03 2 00 L0502</t>
      </is>
    </nc>
  </rcc>
  <rcc rId="5352" sId="1">
    <nc r="B73" t="inlineStr">
      <is>
        <t>03 2 00 L0502</t>
      </is>
    </nc>
  </rcc>
  <rcc rId="5353" sId="1">
    <nc r="B72" t="inlineStr">
      <is>
        <t>03 2 00 L0502</t>
      </is>
    </nc>
  </rcc>
  <rcc rId="5354" sId="1">
    <nc r="B71" t="inlineStr">
      <is>
        <t>03 2 00 L0502</t>
      </is>
    </nc>
  </rcc>
  <rcc rId="5355" sId="1">
    <nc r="D73">
      <f>D74</f>
    </nc>
  </rcc>
  <rcc rId="5356" sId="1">
    <nc r="E73">
      <f>E74</f>
    </nc>
  </rcc>
  <rcc rId="5357" sId="1">
    <nc r="F73">
      <f>F74</f>
    </nc>
  </rcc>
  <rcc rId="5358" sId="1">
    <nc r="D71">
      <f>D72</f>
    </nc>
  </rcc>
  <rcc rId="5359" sId="1">
    <nc r="E71">
      <f>E72</f>
    </nc>
  </rcc>
  <rcc rId="5360" sId="1">
    <nc r="F71">
      <f>F72</f>
    </nc>
  </rcc>
  <rcc rId="5361" sId="1">
    <nc r="D72">
      <f>D73</f>
    </nc>
  </rcc>
  <rcc rId="5362" sId="1">
    <nc r="E72">
      <f>E73</f>
    </nc>
  </rcc>
  <rcc rId="5363" sId="1">
    <nc r="F72">
      <f>F73</f>
    </nc>
  </rcc>
  <rcc rId="5364" sId="1" numFmtId="34">
    <nc r="D74">
      <v>489600</v>
    </nc>
  </rcc>
  <rcc rId="5365" sId="1">
    <oc r="D70">
      <f>D83+D87+D103+D108+D154+D158+D119+D127+D140+D131+D123+D95+D115+D149+D91+D75+D99+D79</f>
    </oc>
    <nc r="D70">
      <f>D83+D87+D103+D108+D154+D158+D119+D127+D140+D131+D123+D95+D115+D149+D91+D75+D99+D79+D71</f>
    </nc>
  </rcc>
  <rcc rId="5366" sId="1">
    <oc r="E70">
      <f>E83+E87+E103+E108+E154+E158+E119+E127+E140+E131+E123+E95+E115+E149+E91+E75+E99+E79</f>
    </oc>
    <nc r="E70">
      <f>E83+E87+E103+E108+E154+E158+E119+E127+E140+E131+E123+E95+E115+E149+E91+E75+E99+E79+E71</f>
    </nc>
  </rcc>
  <rcc rId="5367" sId="1">
    <oc r="F70">
      <f>F83+F87+F103+F108+F154+F158+F119+F127+F140+F131+F123+F95+F115+F149+F91+F75+F99+F79</f>
    </oc>
    <nc r="F70">
      <f>F83+F87+F103+F108+F154+F158+F119+F127+F140+F131+F123+F95+F115+F149+F91+F75+F99+F79+F71</f>
    </nc>
  </rcc>
  <rcv guid="{D9B90A86-BE39-4FED-8226-084809D277F3}" action="delete"/>
  <rdn rId="0" localSheetId="1" customView="1" name="Z_D9B90A86_BE39_4FED_8226_084809D277F3_.wvu.PrintArea" hidden="1" oldHidden="1">
    <formula>'программы '!$A$1:$F$921</formula>
    <oldFormula>'программы '!$A$1:$F$921</oldFormula>
  </rdn>
  <rdn rId="0" localSheetId="1" customView="1" name="Z_D9B90A86_BE39_4FED_8226_084809D277F3_.wvu.FilterData" hidden="1" oldHidden="1">
    <formula>'программы '!$C$1:$C$929</formula>
    <oldFormula>'программы '!$C$1:$C$929</oldFormula>
  </rdn>
  <rcv guid="{D9B90A86-BE39-4FED-8226-084809D277F3}" action="add"/>
</revisions>
</file>

<file path=xl/revisions/revisionLog2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71:XFD74">
    <dxf>
      <fill>
        <patternFill>
          <bgColor rgb="FFFFFF00"/>
        </patternFill>
      </fill>
    </dxf>
  </rfmt>
  <rcc rId="5370" sId="1" numFmtId="34">
    <oc r="D78">
      <f>33433445+5411800</f>
    </oc>
    <nc r="D78">
      <v>63088896.25</v>
    </nc>
  </rcc>
  <rcc rId="5371" sId="1" numFmtId="34">
    <oc r="D86">
      <v>28113787.239999998</v>
    </oc>
    <nc r="D86">
      <v>31182593.690000001</v>
    </nc>
  </rcc>
  <rcc rId="5372" sId="1" numFmtId="34">
    <oc r="D170">
      <v>4408700</v>
    </oc>
    <nc r="D170">
      <v>4953700</v>
    </nc>
  </rcc>
  <rcv guid="{D9B90A86-BE39-4FED-8226-084809D277F3}" action="delete"/>
  <rdn rId="0" localSheetId="1" customView="1" name="Z_D9B90A86_BE39_4FED_8226_084809D277F3_.wvu.PrintArea" hidden="1" oldHidden="1">
    <formula>'программы '!$A$1:$F$921</formula>
    <oldFormula>'программы '!$A$1:$F$921</oldFormula>
  </rdn>
  <rdn rId="0" localSheetId="1" customView="1" name="Z_D9B90A86_BE39_4FED_8226_084809D277F3_.wvu.FilterData" hidden="1" oldHidden="1">
    <formula>'программы '!$C$1:$C$929</formula>
    <oldFormula>'программы '!$C$1:$C$929</oldFormula>
  </rdn>
  <rcv guid="{D9B90A86-BE39-4FED-8226-084809D277F3}" action="add"/>
</revisions>
</file>

<file path=xl/revisions/revisionLog2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75" sId="1" numFmtId="34">
    <oc r="D208">
      <v>190900</v>
    </oc>
    <nc r="D208">
      <v>290900</v>
    </nc>
  </rcc>
  <rcc rId="5376" sId="1" numFmtId="34">
    <oc r="D212">
      <v>950000</v>
    </oc>
    <nc r="D212">
      <v>850000</v>
    </nc>
  </rcc>
</revisions>
</file>

<file path=xl/revisions/revisionLog2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377" sId="1" ref="A427:XFD427" action="insertRow"/>
  <rrc rId="5378" sId="1" ref="A427:XFD427" action="insertRow"/>
  <rrc rId="5379" sId="1" ref="A427:XFD427" action="insertRow"/>
  <rrc rId="5380" sId="1" ref="A427:XFD427" action="insertRow"/>
  <rfmt sheetId="1" sqref="A427:XFD430">
    <dxf>
      <fill>
        <patternFill>
          <bgColor rgb="FFFFFF00"/>
        </patternFill>
      </fill>
    </dxf>
  </rfmt>
  <rcc rId="5381" sId="1">
    <nc r="C430">
      <v>612</v>
    </nc>
  </rcc>
  <rcc rId="5382" sId="1">
    <nc r="C429">
      <v>610</v>
    </nc>
  </rcc>
  <rcc rId="5383" sId="1">
    <nc r="C428">
      <v>600</v>
    </nc>
  </rcc>
  <rcc rId="5384" sId="1">
    <nc r="A430" t="inlineStr">
      <is>
        <t>Субсидии бюджетным учреждениям на  иные цели</t>
      </is>
    </nc>
  </rcc>
  <rcc rId="5385" sId="1">
    <nc r="A429" t="inlineStr">
      <is>
        <t>Субсидии бюджетным учреждениям</t>
      </is>
    </nc>
  </rcc>
  <rcc rId="5386" sId="1">
    <nc r="A428" t="inlineStr">
      <is>
        <t>Предоставление субсидий бюджетным, автономным учреждениям и иным некоммерческим организациям</t>
      </is>
    </nc>
  </rcc>
  <rcc rId="5387" sId="1">
    <nc r="A427" t="inlineStr">
      <is>
        <t>Реализация мероприятий по социально-экономическому развитию</t>
      </is>
    </nc>
  </rcc>
  <rcc rId="5388" sId="1">
    <nc r="B430" t="inlineStr">
      <is>
        <t>12 1 00 Э8160</t>
      </is>
    </nc>
  </rcc>
  <rcc rId="5389" sId="1">
    <nc r="B429" t="inlineStr">
      <is>
        <t>12 1 00 Э8160</t>
      </is>
    </nc>
  </rcc>
  <rcc rId="5390" sId="1">
    <nc r="B428" t="inlineStr">
      <is>
        <t>12 1 00 Э8160</t>
      </is>
    </nc>
  </rcc>
  <rcc rId="5391" sId="1">
    <nc r="B427" t="inlineStr">
      <is>
        <t>12 1 00 Э8160</t>
      </is>
    </nc>
  </rcc>
  <rcc rId="5392" sId="1">
    <nc r="D429">
      <f>D430</f>
    </nc>
  </rcc>
  <rcc rId="5393" sId="1">
    <nc r="E429">
      <f>E430</f>
    </nc>
  </rcc>
  <rcc rId="5394" sId="1">
    <nc r="F429">
      <f>F430</f>
    </nc>
  </rcc>
  <rcc rId="5395" sId="1">
    <nc r="D427">
      <f>D428</f>
    </nc>
  </rcc>
  <rcc rId="5396" sId="1">
    <nc r="E427">
      <f>E428</f>
    </nc>
  </rcc>
  <rcc rId="5397" sId="1">
    <nc r="F427">
      <f>F428</f>
    </nc>
  </rcc>
  <rcc rId="5398" sId="1">
    <nc r="D428">
      <f>D429</f>
    </nc>
  </rcc>
  <rcc rId="5399" sId="1">
    <nc r="E428">
      <f>E429</f>
    </nc>
  </rcc>
  <rcc rId="5400" sId="1">
    <nc r="F428">
      <f>F429</f>
    </nc>
  </rcc>
  <rcc rId="5401" sId="1">
    <oc r="D409">
      <f>D410+D419+D423+D415</f>
    </oc>
    <nc r="D409">
      <f>D410+D419+D423+D415+D427</f>
    </nc>
  </rcc>
  <rcc rId="5402" sId="1">
    <oc r="E409">
      <f>E410+E419+E423+E415</f>
    </oc>
    <nc r="E409">
      <f>E410+E419+E423+E415+E427</f>
    </nc>
  </rcc>
  <rcc rId="5403" sId="1">
    <oc r="F409">
      <f>F410+F419+F423+F415</f>
    </oc>
    <nc r="F409">
      <f>F410+F419+F423+F415+F427</f>
    </nc>
  </rcc>
  <rcc rId="5404" sId="1" numFmtId="34">
    <nc r="D430">
      <v>1510000</v>
    </nc>
  </rcc>
  <rcv guid="{D9B90A86-BE39-4FED-8226-084809D277F3}" action="delete"/>
  <rdn rId="0" localSheetId="1" customView="1" name="Z_D9B90A86_BE39_4FED_8226_084809D277F3_.wvu.PrintArea" hidden="1" oldHidden="1">
    <formula>'программы '!$A$1:$F$925</formula>
    <oldFormula>'программы '!$A$1:$F$925</oldFormula>
  </rdn>
  <rdn rId="0" localSheetId="1" customView="1" name="Z_D9B90A86_BE39_4FED_8226_084809D277F3_.wvu.FilterData" hidden="1" oldHidden="1">
    <formula>'программы '!$C$1:$C$933</formula>
    <oldFormula>'программы '!$C$1:$C$933</oldFormula>
  </rdn>
  <rcv guid="{D9B90A86-BE39-4FED-8226-084809D277F3}" action="add"/>
</revisions>
</file>

<file path=xl/revisions/revisionLog2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07" sId="1" numFmtId="34">
    <oc r="D593">
      <f>150000-35800</f>
    </oc>
    <nc r="D593">
      <v>92400</v>
    </nc>
  </rcc>
  <rcc rId="5408" sId="1" numFmtId="34">
    <oc r="D712">
      <f>532706.79-244250</f>
    </oc>
    <nc r="D712">
      <v>97856.79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67:B70">
    <dxf>
      <fill>
        <patternFill patternType="solid">
          <bgColor theme="6" tint="0.59999389629810485"/>
        </patternFill>
      </fill>
    </dxf>
  </rfmt>
  <rrc rId="2857" sId="1" ref="A79:XFD79" action="insertRow">
    <undo index="0" exp="area" ref3D="1" dr="$A$237:$XFD$241" dn="Z_D9B90A86_BE39_4FED_8226_084809D277F3_.wvu.Rows" sId="1"/>
    <undo index="0" exp="area" ref3D="1" dr="$A$237:$XFD$241" dn="Z_30E81E54_DD45_4653_9DCD_548F6723F554_.wvu.Rows" sId="1"/>
  </rrc>
  <rrc rId="2858" sId="1" ref="A79:XFD79" action="insertRow">
    <undo index="0" exp="area" ref3D="1" dr="$A$238:$XFD$242" dn="Z_D9B90A86_BE39_4FED_8226_084809D277F3_.wvu.Rows" sId="1"/>
    <undo index="0" exp="area" ref3D="1" dr="$A$238:$XFD$242" dn="Z_30E81E54_DD45_4653_9DCD_548F6723F554_.wvu.Rows" sId="1"/>
  </rrc>
  <rrc rId="2859" sId="1" ref="A79:XFD79" action="insertRow">
    <undo index="0" exp="area" ref3D="1" dr="$A$239:$XFD$243" dn="Z_D9B90A86_BE39_4FED_8226_084809D277F3_.wvu.Rows" sId="1"/>
    <undo index="0" exp="area" ref3D="1" dr="$A$239:$XFD$243" dn="Z_30E81E54_DD45_4653_9DCD_548F6723F554_.wvu.Rows" sId="1"/>
  </rrc>
  <rrc rId="2860" sId="1" ref="A79:XFD79" action="insertRow">
    <undo index="0" exp="area" ref3D="1" dr="$A$240:$XFD$244" dn="Z_D9B90A86_BE39_4FED_8226_084809D277F3_.wvu.Rows" sId="1"/>
    <undo index="0" exp="area" ref3D="1" dr="$A$240:$XFD$244" dn="Z_30E81E54_DD45_4653_9DCD_548F6723F554_.wvu.Rows" sId="1"/>
  </rrc>
  <rcc rId="2861" sId="1" numFmtId="34">
    <nc r="C82">
      <v>612</v>
    </nc>
  </rcc>
  <rcc rId="2862" sId="1" numFmtId="34">
    <nc r="C81">
      <v>610</v>
    </nc>
  </rcc>
  <rcc rId="2863" sId="1" numFmtId="34">
    <nc r="C80">
      <v>600</v>
    </nc>
  </rcc>
  <rcc rId="2864" sId="1" xfDxf="1" dxf="1">
    <nc r="A79" t="inlineStr">
      <is>
        <t>Реализация мероприятий по модернизации школьных систем образования (вне рамок регионального проекта "Модернизация школьных систем образования в Архангельской области")</t>
      </is>
    </nc>
    <ndxf>
      <font>
        <name val="Times New Roman"/>
        <scheme val="none"/>
      </font>
      <numFmt numFmtId="30" formatCode="@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65" sId="1" xfDxf="1" dxf="1">
    <nc r="A80" t="inlineStr">
      <is>
        <t>Предоставление субсидий бюджетным, автономным учреждениям и иным некоммерческим организациям</t>
      </is>
    </nc>
    <ndxf>
      <font>
        <name val="Times New Roman"/>
        <scheme val="none"/>
      </font>
      <numFmt numFmtId="30" formatCode="@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66" sId="1" xfDxf="1" dxf="1">
    <nc r="A81" t="inlineStr">
      <is>
        <t>Субсидии бюджетным учреждениям</t>
      </is>
    </nc>
    <ndxf>
      <font>
        <name val="Times New Roman"/>
        <scheme val="none"/>
      </font>
      <numFmt numFmtId="30" formatCode="@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67" sId="1" xfDxf="1" dxf="1">
    <nc r="A82" t="inlineStr">
      <is>
        <t>Субсидии бюджетным учреждениям на иные цели</t>
      </is>
    </nc>
    <ndxf>
      <font>
        <name val="Times New Roman"/>
        <scheme val="none"/>
      </font>
      <numFmt numFmtId="30" formatCode="@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68" sId="1" xfDxf="1" dxf="1">
    <nc r="B79" t="inlineStr">
      <is>
        <t>03 2 00 Э4700</t>
      </is>
    </nc>
    <ndxf>
      <font>
        <name val="Times New Roman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69" sId="1" xfDxf="1" dxf="1">
    <nc r="B80" t="inlineStr">
      <is>
        <t>03 2 00 Э4700</t>
      </is>
    </nc>
    <ndxf>
      <font>
        <name val="Times New Roman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70" sId="1" xfDxf="1" dxf="1">
    <nc r="B81" t="inlineStr">
      <is>
        <t>03 2 00 Э4700</t>
      </is>
    </nc>
    <ndxf>
      <font>
        <name val="Times New Roman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71" sId="1" xfDxf="1" dxf="1">
    <nc r="B82" t="inlineStr">
      <is>
        <t>03 2 00 Э4700</t>
      </is>
    </nc>
    <ndxf>
      <font>
        <name val="Times New Roman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72" sId="1">
    <oc r="D66">
      <f>D71+D75+D83+D88+D95+D124+D128+D132+D67+D99+D107+D120+D111+D103</f>
    </oc>
    <nc r="D66">
      <f>D71+D75+D83+D88+D95+D124+D128+D132+D67+D99+D107+D120+D111+D103+D79</f>
    </nc>
  </rcc>
  <rcc rId="2873" sId="1">
    <oc r="E66">
      <f>E71+E75+E83+E88+E95+E124+E128+E132+E67+E99+E107+E120+E111+E103</f>
    </oc>
    <nc r="E66">
      <f>E71+E75+E83+E88+E95+E124+E128+E132+E67+E99+E107+E120+E111+E103+E79</f>
    </nc>
  </rcc>
  <rcc rId="2874" sId="1">
    <oc r="F66">
      <f>F71+F75+F83+F88+F95+F124+F128+F132+F67+F99+F107+F120+F111+F103</f>
    </oc>
    <nc r="F66">
      <f>F71+F75+F83+F88+F95+F124+F128+F132+F67+F99+F107+F120+F111+F103+F79</f>
    </nc>
  </rcc>
  <rcv guid="{D9B90A86-BE39-4FED-8226-084809D277F3}" action="delete"/>
  <rdn rId="0" localSheetId="1" customView="1" name="Z_D9B90A86_BE39_4FED_8226_084809D277F3_.wvu.PrintArea" hidden="1" oldHidden="1">
    <formula>'программы '!$A$1:$F$763</formula>
    <oldFormula>'программы '!$A$1:$F$763</oldFormula>
  </rdn>
  <rdn rId="0" localSheetId="1" customView="1" name="Z_D9B90A86_BE39_4FED_8226_084809D277F3_.wvu.Rows" hidden="1" oldHidden="1">
    <formula>'программы '!$241:$245</formula>
    <oldFormula>'программы '!$241:$245</oldFormula>
  </rdn>
  <rdn rId="0" localSheetId="1" customView="1" name="Z_D9B90A86_BE39_4FED_8226_084809D277F3_.wvu.FilterData" hidden="1" oldHidden="1">
    <formula>'программы '!$A$1:$A$776</formula>
    <oldFormula>'программы '!$A$1:$A$776</oldFormula>
  </rdn>
  <rcv guid="{D9B90A86-BE39-4FED-8226-084809D277F3}" action="add"/>
</revisions>
</file>

<file path=xl/revisions/revisionLog2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09" sId="1" numFmtId="34">
    <oc r="D597">
      <f>1069200+35800</f>
    </oc>
    <nc r="D597">
      <v>1126800</v>
    </nc>
  </rcc>
</revisions>
</file>

<file path=xl/revisions/revisionLog2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10" sId="1">
    <oc r="D694">
      <f>1196994.24+376200+144590.04-4000</f>
    </oc>
    <nc r="D694">
      <f>1196994.24+376200+144590.04-4000+36814.6</f>
    </nc>
  </rcc>
  <rcc rId="5411" sId="1">
    <oc r="D698">
      <f>8457235.47+452891.15</f>
    </oc>
    <nc r="D698">
      <f>8457235.47+452891.15+307495</f>
    </nc>
  </rcc>
  <rcc rId="5412" sId="1" numFmtId="34">
    <oc r="D702">
      <v>16123.04</v>
    </oc>
    <nc r="D702">
      <f>16123.04-500.74</f>
    </nc>
  </rcc>
</revisions>
</file>

<file path=xl/revisions/revisionLog2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13" sId="1">
    <oc r="D357">
      <f>5000000+344484+87070.87+2381236.58+965247+749950-4527988.45</f>
    </oc>
    <nc r="D357">
      <f>5000000+344484+87070.87+2381236.58+965247+749950-4527988.45-472011.55</f>
    </nc>
  </rcc>
  <rcc rId="5414" sId="1" numFmtId="34">
    <oc r="D363">
      <f>3355721.36-3344747.8</f>
    </oc>
    <nc r="D363">
      <v>0</v>
    </nc>
  </rcc>
</revisions>
</file>

<file path=xl/revisions/revisionLog2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15" sId="1" numFmtId="34">
    <oc r="D505">
      <v>80000</v>
    </oc>
    <nc r="D505">
      <f>80000-2320.4</f>
    </nc>
  </rcc>
  <rcc rId="5416" sId="1" numFmtId="34">
    <oc r="D509">
      <v>222125</v>
    </oc>
    <nc r="D509">
      <v>224695.4</v>
    </nc>
  </rcc>
  <rrc rId="5417" sId="1" ref="A510:XFD510" action="insertRow"/>
  <rrc rId="5418" sId="1" ref="A510:XFD510" action="insertRow"/>
  <rcc rId="5419" sId="1">
    <nc r="A511" t="inlineStr">
      <is>
        <t>Уплата налогов, сборов и иных платежей</t>
      </is>
    </nc>
  </rcc>
  <rcc rId="5420" sId="1">
    <nc r="A510" t="inlineStr">
      <is>
        <t xml:space="preserve">Иные бюджетные ассигнования </t>
      </is>
    </nc>
  </rcc>
  <rcc rId="5421" sId="1">
    <nc r="C511">
      <v>850</v>
    </nc>
  </rcc>
  <rcc rId="5422" sId="1">
    <nc r="C510">
      <v>800</v>
    </nc>
  </rcc>
  <rcc rId="5423" sId="1">
    <nc r="D510">
      <f>D511</f>
    </nc>
  </rcc>
  <rcc rId="5424" sId="1">
    <nc r="E510">
      <f>E511</f>
    </nc>
  </rcc>
  <rcc rId="5425" sId="1">
    <nc r="F510">
      <f>F511</f>
    </nc>
  </rcc>
  <rcc rId="5426" sId="1">
    <oc r="D501">
      <f>D502+D507</f>
    </oc>
    <nc r="D501">
      <f>D502+D507+D510</f>
    </nc>
  </rcc>
  <rcc rId="5427" sId="1">
    <oc r="E501">
      <f>E502+E507</f>
    </oc>
    <nc r="E501">
      <f>E502+E507+E510</f>
    </nc>
  </rcc>
  <rcc rId="5428" sId="1">
    <oc r="F501">
      <f>F502+F507</f>
    </oc>
    <nc r="F501">
      <f>F502+F507+F510</f>
    </nc>
  </rcc>
  <rfmt sheetId="1" sqref="C501:D50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</revisions>
</file>

<file path=xl/revisions/revisionLog2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29" sId="1">
    <nc r="B511" t="inlineStr">
      <is>
        <t>16 0 00 80100</t>
      </is>
    </nc>
  </rcc>
  <rcc rId="5430" sId="1">
    <nc r="B510" t="inlineStr">
      <is>
        <t>16 0 00 80100</t>
      </is>
    </nc>
  </rcc>
</revisions>
</file>

<file path=xl/revisions/revisionLog2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31" sId="1" numFmtId="34">
    <nc r="D511">
      <v>250.74</v>
    </nc>
  </rcc>
</revisions>
</file>

<file path=xl/revisions/revisionLog2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32" sId="1">
    <oc r="D862">
      <f>10934655.53+295698.92</f>
    </oc>
    <nc r="D862">
      <f>10934655.53+295698.92+296895.68</f>
    </nc>
  </rcc>
  <rcc rId="5433" sId="1" numFmtId="34">
    <oc r="D864">
      <f>3302265.97+89301.08</f>
    </oc>
    <nc r="D864">
      <v>3481229.54</v>
    </nc>
  </rcc>
</revisions>
</file>

<file path=xl/revisions/revisionLog2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34" sId="1" numFmtId="34">
    <oc r="D724">
      <v>2079004.63</v>
    </oc>
    <nc r="D724">
      <v>2108524.94</v>
    </nc>
  </rcc>
  <rcc rId="5435" sId="1" numFmtId="34">
    <oc r="D725">
      <v>80000</v>
    </oc>
    <nc r="D725">
      <v>58640</v>
    </nc>
  </rcc>
  <rcc rId="5436" sId="1" numFmtId="34">
    <oc r="D726">
      <v>627895.22</v>
    </oc>
    <nc r="D726">
      <v>636810.35</v>
    </nc>
  </rcc>
  <rcc rId="5437" sId="1" numFmtId="34">
    <oc r="D729">
      <v>107437.3</v>
    </oc>
    <nc r="D729">
      <v>90361.86</v>
    </nc>
  </rcc>
</revisions>
</file>

<file path=xl/revisions/revisionLog2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38" sId="1" numFmtId="34">
    <oc r="D282">
      <v>3000000</v>
    </oc>
    <nc r="D282">
      <f>3000000-182684.5</f>
    </nc>
  </rcc>
  <rcc rId="5439" sId="1" numFmtId="34">
    <oc r="D290">
      <f>1289000-135000</f>
    </oc>
    <nc r="D290">
      <v>1454000</v>
    </nc>
  </rcc>
  <rcc rId="5440" sId="1" numFmtId="34">
    <oc r="D306">
      <v>365000</v>
    </oc>
    <nc r="D306">
      <v>65000</v>
    </nc>
  </rcc>
</revisions>
</file>

<file path=xl/revisions/revisionLog2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41" sId="1">
    <oc r="D377">
      <f>1942940.95-3595.22</f>
    </oc>
    <nc r="D377">
      <f>1942940.95-3595.22-653107.36</f>
    </nc>
  </rcc>
  <rcc rId="5442" sId="1">
    <oc r="D357">
      <f>5000000+344484+87070.87+2381236.58+965247+749950-4527988.45-472011.55</f>
    </oc>
    <nc r="D357">
      <f>5000000+344484+87070.87+2381236.58+965247+749950-4527988.45-472011.55-1742.72</f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79:XFD82">
    <dxf>
      <fill>
        <patternFill patternType="solid">
          <bgColor theme="6" tint="0.59999389629810485"/>
        </patternFill>
      </fill>
    </dxf>
  </rfmt>
  <rrc rId="2878" sId="1" ref="A95:XFD95" action="insertRow">
    <undo index="0" exp="area" ref3D="1" dr="$A$241:$XFD$245" dn="Z_D9B90A86_BE39_4FED_8226_084809D277F3_.wvu.Rows" sId="1"/>
    <undo index="0" exp="area" ref3D="1" dr="$A$241:$XFD$245" dn="Z_30E81E54_DD45_4653_9DCD_548F6723F554_.wvu.Rows" sId="1"/>
  </rrc>
  <rrc rId="2879" sId="1" ref="A95:XFD95" action="insertRow">
    <undo index="0" exp="area" ref3D="1" dr="$A$242:$XFD$246" dn="Z_D9B90A86_BE39_4FED_8226_084809D277F3_.wvu.Rows" sId="1"/>
    <undo index="0" exp="area" ref3D="1" dr="$A$242:$XFD$246" dn="Z_30E81E54_DD45_4653_9DCD_548F6723F554_.wvu.Rows" sId="1"/>
  </rrc>
  <rrc rId="2880" sId="1" ref="A95:XFD95" action="insertRow">
    <undo index="0" exp="area" ref3D="1" dr="$A$243:$XFD$247" dn="Z_D9B90A86_BE39_4FED_8226_084809D277F3_.wvu.Rows" sId="1"/>
    <undo index="0" exp="area" ref3D="1" dr="$A$243:$XFD$247" dn="Z_30E81E54_DD45_4653_9DCD_548F6723F554_.wvu.Rows" sId="1"/>
  </rrc>
  <rrc rId="2881" sId="1" ref="A95:XFD95" action="insertRow">
    <undo index="0" exp="area" ref3D="1" dr="$A$244:$XFD$248" dn="Z_D9B90A86_BE39_4FED_8226_084809D277F3_.wvu.Rows" sId="1"/>
    <undo index="0" exp="area" ref3D="1" dr="$A$244:$XFD$248" dn="Z_30E81E54_DD45_4653_9DCD_548F6723F554_.wvu.Rows" sId="1"/>
  </rrc>
  <rfmt sheetId="1" sqref="D95:D98">
    <dxf>
      <fill>
        <patternFill>
          <bgColor theme="0"/>
        </patternFill>
      </fill>
    </dxf>
  </rfmt>
  <rcc rId="2882" sId="1" numFmtId="34">
    <nc r="C98">
      <v>612</v>
    </nc>
  </rcc>
  <rcc rId="2883" sId="1" numFmtId="34">
    <nc r="C97">
      <v>610</v>
    </nc>
  </rcc>
  <rcc rId="2884" sId="1" numFmtId="34">
    <nc r="C96">
      <v>600</v>
    </nc>
  </rcc>
  <rcc rId="2885" sId="1" xfDxf="1" dxf="1">
    <nc r="A95" t="inlineStr">
      <is>
    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    </is>
    </nc>
    <ndxf>
      <font>
        <name val="Times New Roman"/>
        <scheme val="none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2886" sId="1" xfDxf="1" dxf="1">
    <nc r="A96" t="inlineStr">
      <is>
        <t>Предоставление субсидий бюджетным, автономным учреждениям и иным некоммерческим организациям</t>
      </is>
    </nc>
    <ndxf>
      <font>
        <name val="Times New Roman"/>
        <scheme val="none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2887" sId="1" xfDxf="1" dxf="1">
    <nc r="A97" t="inlineStr">
      <is>
        <t>Субсидии бюджетным учреждениям</t>
      </is>
    </nc>
    <ndxf>
      <font>
        <name val="Times New Roman"/>
        <scheme val="none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2888" sId="1" xfDxf="1" dxf="1">
    <nc r="A98" t="inlineStr">
      <is>
        <t>Субсидии бюджетным учреждениям на  иные цели</t>
      </is>
    </nc>
    <ndxf>
      <font>
        <name val="Times New Roman"/>
        <scheme val="none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2889" sId="1" xfDxf="1" s="1" dxf="1">
    <nc r="B95" t="inlineStr">
      <is>
        <t>03 2 00 80981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_(* #,##0.0_);_(* \(#,##0.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ndxf>
  </rcc>
  <rcc rId="2890" sId="1" xfDxf="1" s="1" dxf="1">
    <nc r="B96" t="inlineStr">
      <is>
        <t>03 2 00 80981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_(* #,##0.0_);_(* \(#,##0.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ndxf>
  </rcc>
  <rcc rId="2891" sId="1" xfDxf="1" s="1" dxf="1">
    <nc r="B97" t="inlineStr">
      <is>
        <t>03 2 00 80981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_(* #,##0.0_);_(* \(#,##0.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ndxf>
  </rcc>
  <rcc rId="2892" sId="1" xfDxf="1" s="1" dxf="1">
    <nc r="B98" t="inlineStr">
      <is>
        <t>03 2 00 80981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_(* #,##0.0_);_(* \(#,##0.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ndxf>
  </rcc>
  <rcc rId="2893" sId="1">
    <nc r="D81">
      <f>D82</f>
    </nc>
  </rcc>
  <rcc rId="2894" sId="1">
    <nc r="D80">
      <f>D81</f>
    </nc>
  </rcc>
  <rcc rId="2895" sId="1">
    <nc r="D79">
      <f>D80</f>
    </nc>
  </rcc>
  <rcc rId="2896" sId="1">
    <nc r="E81">
      <f>E82</f>
    </nc>
  </rcc>
  <rcc rId="2897" sId="1">
    <nc r="F81">
      <f>F82</f>
    </nc>
  </rcc>
  <rcc rId="2898" sId="1">
    <nc r="E80">
      <f>E81</f>
    </nc>
  </rcc>
  <rcc rId="2899" sId="1">
    <nc r="F80">
      <f>F81</f>
    </nc>
  </rcc>
  <rcc rId="2900" sId="1">
    <nc r="E79">
      <f>E80</f>
    </nc>
  </rcc>
  <rcc rId="2901" sId="1">
    <nc r="F79">
      <f>F80</f>
    </nc>
  </rcc>
  <rfmt sheetId="1" sqref="A95:XFD98" start="0" length="2147483647">
    <dxf>
      <font>
        <color rgb="FFFF0000"/>
      </font>
    </dxf>
  </rfmt>
  <rfmt sheetId="1" sqref="A95:XFD98" start="0" length="2147483647">
    <dxf>
      <font/>
    </dxf>
  </rfmt>
  <rfmt sheetId="1" sqref="A95:XFD98" start="0" length="2147483647">
    <dxf>
      <font>
        <color auto="1"/>
      </font>
    </dxf>
  </rfmt>
  <rfmt sheetId="1" sqref="A95:XFD98">
    <dxf>
      <fill>
        <patternFill>
          <bgColor theme="6" tint="0.59999389629810485"/>
        </patternFill>
      </fill>
    </dxf>
  </rfmt>
  <rcc rId="2902" sId="1">
    <nc r="D97">
      <f>D98</f>
    </nc>
  </rcc>
  <rcc rId="2903" sId="1">
    <nc r="D96">
      <f>D97</f>
    </nc>
  </rcc>
  <rcc rId="2904" sId="1">
    <nc r="D95">
      <f>D96</f>
    </nc>
  </rcc>
  <rcc rId="2905" sId="1">
    <nc r="E97">
      <f>E98</f>
    </nc>
  </rcc>
  <rcc rId="2906" sId="1">
    <nc r="F97">
      <f>F98</f>
    </nc>
  </rcc>
  <rcc rId="2907" sId="1">
    <nc r="E96">
      <f>E97</f>
    </nc>
  </rcc>
  <rcc rId="2908" sId="1">
    <nc r="F96">
      <f>F97</f>
    </nc>
  </rcc>
  <rcc rId="2909" sId="1">
    <nc r="E95">
      <f>E96</f>
    </nc>
  </rcc>
  <rcc rId="2910" sId="1">
    <nc r="F95">
      <f>F96</f>
    </nc>
  </rcc>
  <rcv guid="{D9B90A86-BE39-4FED-8226-084809D277F3}" action="delete"/>
  <rdn rId="0" localSheetId="1" customView="1" name="Z_D9B90A86_BE39_4FED_8226_084809D277F3_.wvu.PrintArea" hidden="1" oldHidden="1">
    <formula>'программы '!$A$1:$F$767</formula>
    <oldFormula>'программы '!$A$1:$F$767</oldFormula>
  </rdn>
  <rdn rId="0" localSheetId="1" customView="1" name="Z_D9B90A86_BE39_4FED_8226_084809D277F3_.wvu.Rows" hidden="1" oldHidden="1">
    <formula>'программы '!$245:$249</formula>
    <oldFormula>'программы '!$245:$249</oldFormula>
  </rdn>
  <rdn rId="0" localSheetId="1" customView="1" name="Z_D9B90A86_BE39_4FED_8226_084809D277F3_.wvu.FilterData" hidden="1" oldHidden="1">
    <formula>'программы '!$A$1:$A$780</formula>
    <oldFormula>'программы '!$A$1:$A$780</oldFormula>
  </rdn>
  <rcv guid="{D9B90A86-BE39-4FED-8226-084809D277F3}" action="add"/>
</revisions>
</file>

<file path=xl/revisions/revisionLog2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43" sId="1" numFmtId="34">
    <oc r="D576">
      <v>7600000</v>
    </oc>
    <nc r="D576">
      <f>7600000-2600191.95</f>
    </nc>
  </rcc>
</revisions>
</file>

<file path=xl/revisions/revisionLog2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44" sId="1" numFmtId="34">
    <oc r="D755">
      <v>8700000</v>
    </oc>
    <nc r="D755">
      <f>8700000-1921485.27</f>
    </nc>
  </rcc>
  <rcc rId="5445" sId="1">
    <oc r="D773">
      <f>2874890.87-97542.24</f>
    </oc>
    <nc r="D773">
      <f>2874890.87-97542.24-141627.76</f>
    </nc>
  </rcc>
</revisions>
</file>

<file path=xl/revisions/revisionLog2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46" sId="1" numFmtId="34">
    <oc r="D240">
      <v>10710000</v>
    </oc>
    <nc r="D240">
      <f>10710000+2000000</f>
    </nc>
  </rcc>
</revisions>
</file>

<file path=xl/revisions/revisionLog2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47" sId="1">
    <oc r="D251">
      <f>6128158.25-40062</f>
    </oc>
    <nc r="D251">
      <f>6128158.25-40062-2067.32</f>
    </nc>
  </rcc>
</revisions>
</file>

<file path=xl/revisions/revisionLog2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48" sId="1">
    <oc r="D755">
      <f>8700000-1921485.27</f>
    </oc>
    <nc r="D755">
      <f>8700000-1921485.27-222894.69</f>
    </nc>
  </rcc>
</revisions>
</file>

<file path=xl/revisions/revisionLog2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49" sId="1">
    <oc r="D760">
      <f>2883700+70000-2111604.31+267000-262984.84</f>
    </oc>
    <nc r="D760">
      <f>2883700+70000-2111604.31+267000-262984.84-49469.65</f>
    </nc>
  </rcc>
</revisions>
</file>

<file path=xl/revisions/revisionLog2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50" sId="1" numFmtId="34">
    <oc r="D797">
      <v>500000</v>
    </oc>
    <nc r="D797">
      <f>500000-279465.01</f>
    </nc>
  </rcc>
</revisions>
</file>

<file path=xl/revisions/revisionLog2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51" sId="1" numFmtId="34">
    <oc r="D22">
      <v>362250</v>
    </oc>
    <nc r="D22">
      <f>362250-162516.67</f>
    </nc>
  </rcc>
</revisions>
</file>

<file path=xl/revisions/revisionLog2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52" sId="1">
    <oc r="D240">
      <f>10710000+2000000</f>
    </oc>
    <nc r="D240">
      <f>10710000+2000000-2191899.42</f>
    </nc>
  </rcc>
</revisions>
</file>

<file path=xl/revisions/revisionLog2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53" sId="1">
    <oc r="D259">
      <f>4772643.2+40062+226164.2+100000+200000</f>
    </oc>
    <nc r="D259">
      <f>4772643.2+40062+226164.2+100000+200000+1087386</f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14" sId="1">
    <oc r="D66">
      <f>D71+D75+D83+D88+D99+D128+D132+D136+D67+D103+D111+D124+D115+D107+D79</f>
    </oc>
    <nc r="D66">
      <f>D71+D75+D83+D88+D99+D128+D132+D136+D67+D103+D111+D124+D115+D107+D79+D95</f>
    </nc>
  </rcc>
  <rcc rId="2915" sId="1">
    <oc r="E66">
      <f>E71+E75+E83+E88+E99+E128+E132+E136+E67+E103+E111+E124+E115+E107+E79</f>
    </oc>
    <nc r="E66">
      <f>E71+E75+E83+E88+E99+E128+E132+E136+E67+E103+E111+E124+E115+E107+E79+E95</f>
    </nc>
  </rcc>
  <rcc rId="2916" sId="1">
    <oc r="F66">
      <f>F71+F75+F83+F88+F99+F128+F132+F136+F67+F103+F111+F124+F115+F107+F79</f>
    </oc>
    <nc r="F66">
      <f>F71+F75+F83+F88+F99+F128+F132+F136+F67+F103+F111+F124+F115+F107+F79+F95</f>
    </nc>
  </rcc>
</revisions>
</file>

<file path=xl/revisions/revisionLog2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54" sId="1">
    <oc r="D264">
      <f>7881164.9-320468.9</f>
    </oc>
    <nc r="D264">
      <f>7881164.9-320468.9-420000</f>
    </nc>
  </rcc>
  <rcc rId="5455" sId="1" numFmtId="34">
    <oc r="D336">
      <v>110000</v>
    </oc>
    <nc r="D336">
      <v>0</v>
    </nc>
  </rcc>
</revisions>
</file>

<file path=xl/revisions/revisionLog2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56" sId="1">
    <oc r="D357">
      <f>5000000+344484+87070.87+2381236.58+965247+749950-4527988.45-472011.55-1742.72</f>
    </oc>
    <nc r="D357">
      <f>5000000+344484+87070.87+2381236.58+965247+749950-4527988.45-472011.55-1742.72+346639.75</f>
    </nc>
  </rcc>
</revisions>
</file>

<file path=xl/revisions/revisionLog2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57" sId="1">
    <oc r="D361">
      <f>2487459+857288.8</f>
    </oc>
    <nc r="D361">
      <f>2487459+857288.8+160962.36</f>
    </nc>
  </rcc>
</revisions>
</file>

<file path=xl/revisions/revisionLog2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58" sId="1" numFmtId="34">
    <oc r="D717">
      <f>472574+104250</f>
    </oc>
    <nc r="D717">
      <v>717424</v>
    </nc>
  </rcc>
  <rcc rId="5459" sId="1">
    <oc r="D700">
      <f>8457235.47+452891.15+307495</f>
    </oc>
    <nc r="D700">
      <f>8457235.47+452891.15+307495-5000</f>
    </nc>
  </rcc>
  <rcc rId="5460" sId="1">
    <oc r="D868">
      <f>6215375.53-446399.17</f>
    </oc>
    <nc r="D868">
      <f>6215375.53-446399.17+5000</f>
    </nc>
  </rcc>
  <rcv guid="{D9B90A86-BE39-4FED-8226-084809D277F3}" action="delete"/>
  <rdn rId="0" localSheetId="1" customView="1" name="Z_D9B90A86_BE39_4FED_8226_084809D277F3_.wvu.PrintArea" hidden="1" oldHidden="1">
    <formula>'программы '!$A$1:$F$927</formula>
    <oldFormula>'программы '!$A$1:$F$927</oldFormula>
  </rdn>
  <rdn rId="0" localSheetId="1" customView="1" name="Z_D9B90A86_BE39_4FED_8226_084809D277F3_.wvu.FilterData" hidden="1" oldHidden="1">
    <formula>'программы '!$C$1:$C$935</formula>
    <oldFormula>'программы '!$C$1:$C$935</oldFormula>
  </rdn>
  <rcv guid="{D9B90A86-BE39-4FED-8226-084809D277F3}" action="add"/>
</revisions>
</file>

<file path=xl/revisions/revisionLog2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63" sId="1">
    <oc r="D357">
      <f>5000000+344484+87070.87+2381236.58+965247+749950-4527988.45-472011.55-1742.72+346639.75</f>
    </oc>
    <nc r="D357">
      <f>5000000+344484+87070.87+2381236.58+965247+749950-4527988.45-472011.55-1742.72+346639.75+127114.52</f>
    </nc>
  </rcc>
</revisions>
</file>

<file path=xl/revisions/revisionLog2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64" sId="1" numFmtId="34">
    <oc r="D401">
      <f>2225871.17+39843.36</f>
    </oc>
    <nc r="D401">
      <v>2841747.36</v>
    </nc>
  </rcc>
</revisions>
</file>

<file path=xl/revisions/revisionLog2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65" sId="1">
    <oc r="D719">
      <f>460000+140000</f>
    </oc>
    <nc r="D719">
      <f>460000+140000+50000</f>
    </nc>
  </rcc>
</revisions>
</file>

<file path=xl/revisions/revisionLog2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66" sId="1">
    <oc r="D361">
      <f>2487459+857288.8+160962.36</f>
    </oc>
    <nc r="D361">
      <f>2487459+857288.8+160962.36-149988.8</f>
    </nc>
  </rcc>
</revisions>
</file>

<file path=xl/revisions/revisionLog2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67" sId="1">
    <oc r="D734">
      <f>440000-39546.6</f>
    </oc>
    <nc r="D734">
      <f>440000-39546.6-100000</f>
    </nc>
  </rcc>
</revisions>
</file>

<file path=xl/revisions/revisionLog2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68" sId="1" numFmtId="34">
    <oc r="D823">
      <v>180000</v>
    </oc>
    <nc r="D823">
      <f>180000+100000</f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17" sId="1">
    <nc r="D55">
      <f>D56</f>
    </nc>
  </rcc>
  <rcc rId="2918" sId="1">
    <nc r="E55">
      <f>E56</f>
    </nc>
  </rcc>
  <rcc rId="2919" sId="1">
    <nc r="F55">
      <f>F56</f>
    </nc>
  </rcc>
  <rcc rId="2920" sId="1">
    <nc r="D54">
      <f>D55</f>
    </nc>
  </rcc>
  <rcc rId="2921" sId="1">
    <nc r="E54">
      <f>E55</f>
    </nc>
  </rcc>
  <rcc rId="2922" sId="1">
    <nc r="F54">
      <f>F55</f>
    </nc>
  </rcc>
  <rcc rId="2923" sId="1">
    <nc r="D53">
      <f>D54</f>
    </nc>
  </rcc>
  <rcc rId="2924" sId="1">
    <nc r="E53">
      <f>E54</f>
    </nc>
  </rcc>
  <rcc rId="2925" sId="1">
    <nc r="F53">
      <f>F54</f>
    </nc>
  </rcc>
</revisions>
</file>

<file path=xl/revisions/revisionLog2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69" sId="1" numFmtId="34">
    <oc r="D608">
      <v>1235800</v>
    </oc>
    <nc r="D608">
      <f>1235800+5063.14</f>
    </nc>
  </rcc>
</revisions>
</file>

<file path=xl/revisions/revisionLog2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70" sId="1">
    <oc r="D616">
      <f>719100-124036.86</f>
    </oc>
    <nc r="D616">
      <f>719100-124036.86-5063.14</f>
    </nc>
  </rcc>
</revisions>
</file>

<file path=xl/revisions/revisionLog2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71" sId="1" numFmtId="34">
    <oc r="D833">
      <v>7636954.1300000008</v>
    </oc>
    <nc r="D833">
      <f>7636954.13+3681417.62</f>
    </nc>
  </rcc>
</revisions>
</file>

<file path=xl/revisions/revisionLog2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72" sId="1">
    <oc r="D31">
      <f>54932575.22-984473.45</f>
    </oc>
    <nc r="D31">
      <f>54932575.22-984473.45+1841277.9</f>
    </nc>
  </rcc>
  <rcc rId="5473" sId="1">
    <oc r="D34">
      <f>2659965.94+984473.45</f>
    </oc>
    <nc r="D34">
      <f>2659965.94+984473.45-1841277.9</f>
    </nc>
  </rcc>
</revisions>
</file>

<file path=xl/revisions/revisionLog2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74" sId="1">
    <oc r="D240">
      <f>10710000+2000000-2191899.42</f>
    </oc>
    <nc r="D240">
      <f>10710000+2000000-2191899.42+2600000</f>
    </nc>
  </rcc>
</revisions>
</file>

<file path=xl/revisions/revisionLog2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475" sId="1" ref="A240:XFD240" action="insertRow">
    <undo index="0" exp="area" ref3D="1" dr="$A$298:$XFD$306" dn="Z_30E81E54_DD45_4653_9DCD_548F6723F554_.wvu.Rows" sId="1"/>
  </rrc>
  <rcc rId="5476" sId="1">
    <nc r="C240" t="inlineStr">
      <is>
        <t>243</t>
      </is>
    </nc>
  </rcc>
  <rcc rId="5477" sId="1">
    <nc r="B240" t="inlineStr">
      <is>
        <t>04 0 00 Э8160</t>
      </is>
    </nc>
  </rcc>
  <rcc rId="5478" sId="1" odxf="1" dxf="1">
    <nc r="A240" t="inlineStr">
      <is>
        <t>Закупка товаров, работ, услуг в целях капитального
ремонта государственного (муниципального) имущества</t>
      </is>
    </nc>
    <odxf>
      <alignment wrapText="0" readingOrder="0"/>
    </odxf>
    <ndxf>
      <alignment wrapText="1" readingOrder="0"/>
    </ndxf>
  </rcc>
  <rcc rId="5479" sId="1" numFmtId="34">
    <nc r="D240">
      <v>11100191.949999999</v>
    </nc>
  </rcc>
  <rcc rId="5480" sId="1">
    <oc r="D238">
      <f>D239</f>
    </oc>
    <nc r="D238">
      <f>D239</f>
    </nc>
  </rcc>
  <rcc rId="5481" sId="1">
    <oc r="D239">
      <f>D241</f>
    </oc>
    <nc r="D239">
      <f>D241+D240</f>
    </nc>
  </rcc>
  <rcc rId="5482" sId="1">
    <oc r="E239">
      <f>E241</f>
    </oc>
    <nc r="E239">
      <f>E241+E240</f>
    </nc>
  </rcc>
  <rcc rId="5483" sId="1">
    <oc r="F239">
      <f>F241</f>
    </oc>
    <nc r="F239">
      <f>F241+F240</f>
    </nc>
  </rcc>
</revisions>
</file>

<file path=xl/revisions/revisionLog2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4" sId="1" numFmtId="34">
    <oc r="D244">
      <v>10000000</v>
    </oc>
    <nc r="D244">
      <f>10000000-10000000</f>
    </nc>
  </rcc>
</revisions>
</file>

<file path=xl/revisions/revisionLog2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5" sId="1" numFmtId="34">
    <oc r="D161">
      <v>25907674.970000003</v>
    </oc>
    <nc r="D161">
      <v>22342874.969999999</v>
    </nc>
  </rcc>
</revisions>
</file>

<file path=xl/revisions/revisionLog2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6" sId="1" numFmtId="34">
    <oc r="D408">
      <v>45000</v>
    </oc>
    <nc r="D408">
      <f>45000+20100</f>
    </nc>
  </rcc>
</revisions>
</file>

<file path=xl/revisions/revisionLog2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7" sId="1" numFmtId="34">
    <oc r="D582">
      <v>75000</v>
    </oc>
    <nc r="D582">
      <f>75000+75000</f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926" sId="1" ref="A128:XFD128" action="insertRow">
    <undo index="0" exp="area" ref3D="1" dr="$A$245:$XFD$249" dn="Z_D9B90A86_BE39_4FED_8226_084809D277F3_.wvu.Rows" sId="1"/>
    <undo index="0" exp="area" ref3D="1" dr="$A$245:$XFD$249" dn="Z_30E81E54_DD45_4653_9DCD_548F6723F554_.wvu.Rows" sId="1"/>
  </rrc>
  <rrc rId="2927" sId="1" ref="A128:XFD128" action="insertRow">
    <undo index="0" exp="area" ref3D="1" dr="$A$246:$XFD$250" dn="Z_D9B90A86_BE39_4FED_8226_084809D277F3_.wvu.Rows" sId="1"/>
    <undo index="0" exp="area" ref3D="1" dr="$A$246:$XFD$250" dn="Z_30E81E54_DD45_4653_9DCD_548F6723F554_.wvu.Rows" sId="1"/>
  </rrc>
  <rrc rId="2928" sId="1" ref="A128:XFD129" action="insertRow">
    <undo index="0" exp="area" ref3D="1" dr="$A$247:$XFD$251" dn="Z_D9B90A86_BE39_4FED_8226_084809D277F3_.wvu.Rows" sId="1"/>
    <undo index="0" exp="area" ref3D="1" dr="$A$247:$XFD$251" dn="Z_30E81E54_DD45_4653_9DCD_548F6723F554_.wvu.Rows" sId="1"/>
  </rrc>
  <rrc rId="2929" sId="1" ref="A128:XFD129" action="insertRow">
    <undo index="0" exp="area" ref3D="1" dr="$A$249:$XFD$253" dn="Z_D9B90A86_BE39_4FED_8226_084809D277F3_.wvu.Rows" sId="1"/>
    <undo index="0" exp="area" ref3D="1" dr="$A$249:$XFD$253" dn="Z_30E81E54_DD45_4653_9DCD_548F6723F554_.wvu.Rows" sId="1"/>
  </rrc>
  <rrc rId="2930" sId="1" ref="A128:XFD129" action="insertRow">
    <undo index="0" exp="area" ref3D="1" dr="$A$251:$XFD$255" dn="Z_D9B90A86_BE39_4FED_8226_084809D277F3_.wvu.Rows" sId="1"/>
    <undo index="0" exp="area" ref3D="1" dr="$A$251:$XFD$255" dn="Z_30E81E54_DD45_4653_9DCD_548F6723F554_.wvu.Rows" sId="1"/>
  </rrc>
  <rrc rId="2931" sId="1" ref="A128:XFD129" action="insertRow">
    <undo index="0" exp="area" ref3D="1" dr="$A$253:$XFD$257" dn="Z_D9B90A86_BE39_4FED_8226_084809D277F3_.wvu.Rows" sId="1"/>
    <undo index="0" exp="area" ref3D="1" dr="$A$253:$XFD$257" dn="Z_30E81E54_DD45_4653_9DCD_548F6723F554_.wvu.Rows" sId="1"/>
  </rrc>
  <rrc rId="2932" sId="1" ref="A137:XFD137" action="deleteRow">
    <undo index="0" exp="area" ref3D="1" dr="$A$255:$XFD$259" dn="Z_D9B90A86_BE39_4FED_8226_084809D277F3_.wvu.Rows" sId="1"/>
    <undo index="0" exp="area" ref3D="1" dr="$A$255:$XFD$259" dn="Z_30E81E54_DD45_4653_9DCD_548F6723F554_.wvu.Rows" sId="1"/>
    <rfmt sheetId="1" xfDxf="1" sqref="A137:XFD137" start="0" length="0">
      <dxf>
        <font>
          <name val="Times New Roman"/>
          <scheme val="none"/>
        </font>
        <alignment vertical="center" readingOrder="0"/>
      </dxf>
    </rfmt>
    <rfmt sheetId="1" sqref="A137" start="0" length="0">
      <dxf>
        <alignment horizontal="justify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qref="B137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137" start="0" length="0">
      <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137" start="0" length="0">
      <dxf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137" start="0" length="0">
      <dxf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137" start="0" length="0">
      <dxf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2933" sId="1">
    <nc r="C136">
      <v>612</v>
    </nc>
  </rcc>
  <rcc rId="2934" sId="1">
    <nc r="C135">
      <v>610</v>
    </nc>
  </rcc>
  <rcc rId="2935" sId="1">
    <nc r="C134">
      <v>600</v>
    </nc>
  </rcc>
  <rcc rId="2936" sId="1">
    <nc r="C131">
      <v>612</v>
    </nc>
  </rcc>
  <rcc rId="2937" sId="1">
    <nc r="C130">
      <v>610</v>
    </nc>
  </rcc>
  <rcc rId="2938" sId="1">
    <nc r="C129">
      <v>600</v>
    </nc>
  </rcc>
  <rcc rId="2939" sId="1" xfDxf="1" dxf="1">
    <nc r="B128" t="inlineStr">
      <is>
        <t>03 2 E2 50981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40" sId="1" xfDxf="1" dxf="1">
    <nc r="B129" t="inlineStr">
      <is>
        <t>03 2 E2 50981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41" sId="1" xfDxf="1" dxf="1">
    <nc r="B130" t="inlineStr">
      <is>
        <t>03 2 E2 50981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42" sId="1" xfDxf="1" dxf="1">
    <nc r="B131" t="inlineStr">
      <is>
        <t>03 2 E2 50981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43" sId="1" xfDxf="1" dxf="1">
    <nc r="B132" t="inlineStr">
      <is>
        <t>03 2 EВ 00000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44" sId="1" xfDxf="1" dxf="1">
    <nc r="B133" t="inlineStr">
      <is>
        <t>03 2 EВ 51792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45" sId="1" xfDxf="1" dxf="1">
    <nc r="B134" t="inlineStr">
      <is>
        <t>03 2 EВ 51792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46" sId="1" xfDxf="1" dxf="1">
    <nc r="B135" t="inlineStr">
      <is>
        <t>03 2 EВ 51792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47" sId="1" xfDxf="1" dxf="1">
    <nc r="B136" t="inlineStr">
      <is>
        <t>03 2 EВ 51792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48" sId="1" xfDxf="1" dxf="1">
    <nc r="A128" t="inlineStr">
      <is>
        <t>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    </is>
    </nc>
    <ndxf>
      <font>
        <name val="Times New Roman"/>
        <scheme val="none"/>
      </font>
      <alignment horizontal="justify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2949" sId="1" xfDxf="1" dxf="1">
    <nc r="A129" t="inlineStr">
      <is>
        <t>Предоставление субсидий бюджетным, автономным учреждениям и иным некоммерческим организациям</t>
      </is>
    </nc>
    <ndxf>
      <font>
        <name val="Times New Roman"/>
        <scheme val="none"/>
      </font>
      <alignment horizontal="justify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2950" sId="1" xfDxf="1" dxf="1">
    <nc r="A130" t="inlineStr">
      <is>
        <t>Субсидии бюджетным учреждениям</t>
      </is>
    </nc>
    <ndxf>
      <font>
        <name val="Times New Roman"/>
        <scheme val="none"/>
      </font>
      <alignment horizontal="justify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2951" sId="1" xfDxf="1" dxf="1">
    <nc r="A131" t="inlineStr">
      <is>
        <t>Субсидии бюджетным учреждениям на  иные цели</t>
      </is>
    </nc>
    <ndxf>
      <font>
        <name val="Times New Roman"/>
        <scheme val="none"/>
      </font>
      <alignment horizontal="justify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2952" sId="1" xfDxf="1" dxf="1">
    <nc r="A132" t="inlineStr">
      <is>
        <t>Мероприятия в рамках Федерального проекта "Патриотическое воспитание граждан Российской Федерации"</t>
      </is>
    </nc>
    <ndxf>
      <font>
        <name val="Times New Roman"/>
        <scheme val="none"/>
      </font>
      <alignment horizontal="justify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2953" sId="1" xfDxf="1" dxf="1">
    <nc r="A133" t="inlineStr">
      <is>
    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(для муниципальных общеобразовательных организаций)</t>
      </is>
    </nc>
    <ndxf>
      <font>
        <name val="Times New Roman"/>
        <scheme val="none"/>
      </font>
      <alignment horizontal="justify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2954" sId="1" xfDxf="1" dxf="1">
    <nc r="A134" t="inlineStr">
      <is>
        <t>Предоставление субсидий бюджетным, автономным учреждениям и иным некоммерческим организациям</t>
      </is>
    </nc>
    <ndxf>
      <font>
        <name val="Times New Roman"/>
        <scheme val="none"/>
      </font>
      <alignment horizontal="justify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2955" sId="1" xfDxf="1" dxf="1">
    <nc r="A135" t="inlineStr">
      <is>
        <t>Субсидии бюджетным учреждениям</t>
      </is>
    </nc>
    <ndxf>
      <font>
        <name val="Times New Roman"/>
        <scheme val="none"/>
      </font>
      <alignment horizontal="justify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2956" sId="1" xfDxf="1" dxf="1">
    <nc r="A136" t="inlineStr">
      <is>
        <t>Субсидии бюджетным учреждениям на  иные цели</t>
      </is>
    </nc>
    <ndxf>
      <font>
        <name val="Times New Roman"/>
        <scheme val="none"/>
      </font>
      <alignment horizontal="justify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1" sqref="A128:XFD136">
    <dxf>
      <fill>
        <patternFill>
          <bgColor theme="6" tint="0.59999389629810485"/>
        </patternFill>
      </fill>
    </dxf>
  </rfmt>
  <rcc rId="2957" sId="1">
    <nc r="D135">
      <f>D136</f>
    </nc>
  </rcc>
  <rcc rId="2958" sId="1">
    <nc r="E135">
      <f>E136</f>
    </nc>
  </rcc>
  <rcc rId="2959" sId="1">
    <nc r="F135">
      <f>F136</f>
    </nc>
  </rcc>
  <rcc rId="2960" sId="1">
    <nc r="D134">
      <f>D135</f>
    </nc>
  </rcc>
  <rcc rId="2961" sId="1">
    <nc r="E134">
      <f>E135</f>
    </nc>
  </rcc>
  <rcc rId="2962" sId="1">
    <nc r="F134">
      <f>F135</f>
    </nc>
  </rcc>
  <rcc rId="2963" sId="1">
    <nc r="D133">
      <f>D134</f>
    </nc>
  </rcc>
  <rcc rId="2964" sId="1">
    <nc r="E133">
      <f>E134</f>
    </nc>
  </rcc>
  <rcc rId="2965" sId="1">
    <nc r="F133">
      <f>F134</f>
    </nc>
  </rcc>
  <rcc rId="2966" sId="1">
    <nc r="D132">
      <f>D133</f>
    </nc>
  </rcc>
  <rcc rId="2967" sId="1">
    <nc r="E132">
      <f>E133</f>
    </nc>
  </rcc>
  <rcc rId="2968" sId="1">
    <nc r="F132">
      <f>F133</f>
    </nc>
  </rcc>
  <rcc rId="2969" sId="1">
    <nc r="D130">
      <f>D131</f>
    </nc>
  </rcc>
  <rcc rId="2970" sId="1">
    <nc r="E130">
      <f>E131</f>
    </nc>
  </rcc>
  <rcc rId="2971" sId="1">
    <nc r="F130">
      <f>F131</f>
    </nc>
  </rcc>
  <rcc rId="2972" sId="1">
    <nc r="D129">
      <f>D130</f>
    </nc>
  </rcc>
  <rcc rId="2973" sId="1">
    <nc r="E129">
      <f>E130</f>
    </nc>
  </rcc>
  <rcc rId="2974" sId="1">
    <nc r="F129">
      <f>F130</f>
    </nc>
  </rcc>
  <rcc rId="2975" sId="1">
    <nc r="D128">
      <f>D129</f>
    </nc>
  </rcc>
  <rcc rId="2976" sId="1">
    <nc r="E128">
      <f>E129</f>
    </nc>
  </rcc>
  <rcc rId="2977" sId="1">
    <nc r="F128">
      <f>F129</f>
    </nc>
  </rcc>
  <rcv guid="{D9B90A86-BE39-4FED-8226-084809D277F3}" action="delete"/>
  <rdn rId="0" localSheetId="1" customView="1" name="Z_D9B90A86_BE39_4FED_8226_084809D277F3_.wvu.PrintArea" hidden="1" oldHidden="1">
    <formula>'программы '!$A$1:$F$776</formula>
    <oldFormula>'программы '!$A$1:$F$776</oldFormula>
  </rdn>
  <rdn rId="0" localSheetId="1" customView="1" name="Z_D9B90A86_BE39_4FED_8226_084809D277F3_.wvu.Rows" hidden="1" oldHidden="1">
    <formula>'программы '!$254:$258</formula>
    <oldFormula>'программы '!$254:$258</oldFormula>
  </rdn>
  <rdn rId="0" localSheetId="1" customView="1" name="Z_D9B90A86_BE39_4FED_8226_084809D277F3_.wvu.FilterData" hidden="1" oldHidden="1">
    <formula>'программы '!$A$1:$A$789</formula>
    <oldFormula>'программы '!$A$1:$A$789</oldFormula>
  </rdn>
  <rcv guid="{D9B90A86-BE39-4FED-8226-084809D277F3}" action="add"/>
</revisions>
</file>

<file path=xl/revisions/revisionLog2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8" sId="1" numFmtId="34">
    <oc r="D596">
      <v>92400</v>
    </oc>
    <nc r="D596">
      <f>92400-45000</f>
    </nc>
  </rcc>
</revisions>
</file>

<file path=xl/revisions/revisionLog2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89" sId="1">
    <oc r="D408">
      <f>45000+20100</f>
    </oc>
    <nc r="D408">
      <f>45000+20100-20100</f>
    </nc>
  </rcc>
  <rcc rId="5490" sId="1">
    <oc r="D582">
      <f>75000+75000</f>
    </oc>
    <nc r="D582">
      <f>75000+75000-75000</f>
    </nc>
  </rcc>
</revisions>
</file>

<file path=xl/revisions/revisionLog2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91" sId="1">
    <oc r="D824">
      <f>180000+100000</f>
    </oc>
    <nc r="D824">
      <f>180000+100000+50000</f>
    </nc>
  </rcc>
</revisions>
</file>

<file path=xl/revisions/revisionLog2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824:D824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cc rId="5492" sId="1">
    <oc r="D869">
      <f>6215375.53-446399.17+5000</f>
    </oc>
    <nc r="D869">
      <f>6215375.53-446399.17+5000+45000</f>
    </nc>
  </rcc>
</revisions>
</file>

<file path=xl/revisions/revisionLog2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93" sId="1">
    <oc r="D701">
      <f>8457235.47+452891.15+307495-5000</f>
    </oc>
    <nc r="D701">
      <f>8457235.47+452891.15+307495-5000-50000</f>
    </nc>
  </rcc>
  <rcc rId="5494" sId="1">
    <oc r="D697">
      <f>1196994.24+376200+144590.04-4000+36814.6</f>
    </oc>
    <nc r="D697">
      <f>1196994.24+376200+144590.04-4000+36814.6-100000</f>
    </nc>
  </rcc>
</revisions>
</file>

<file path=xl/revisions/revisionLog2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95" sId="1">
    <oc r="D735">
      <f>440000-39546.6-100000</f>
    </oc>
    <nc r="D735">
      <f>440000-39546.6-100000-46527.67</f>
    </nc>
  </rcc>
</revisions>
</file>

<file path=xl/revisions/revisionLog2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96" sId="1" numFmtId="34">
    <oc r="D739">
      <v>681300</v>
    </oc>
    <nc r="D739">
      <f>681300-164134</f>
    </nc>
  </rcc>
</revisions>
</file>

<file path=xl/revisions/revisionLog2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97" sId="1">
    <oc r="D824">
      <f>180000+100000+50000</f>
    </oc>
    <nc r="D824">
      <f>180000+100000+50000+146527.67</f>
    </nc>
  </rcc>
</revisions>
</file>

<file path=xl/revisions/revisionLog2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98" sId="1">
    <oc r="D774">
      <f>2874890.87-97542.24-141627.76</f>
    </oc>
    <nc r="D774">
      <f>2874890.87-97542.24-141627.76+417670</f>
    </nc>
  </rcc>
</revisions>
</file>

<file path=xl/revisions/revisionLog2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99" sId="1" numFmtId="34">
    <oc r="D111">
      <v>253536</v>
    </oc>
    <nc r="D111">
      <f>253536-253536</f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81" sId="1">
    <oc r="D66">
      <f>D71+D75+D83+D88+D99+D137+D141+D145+D67+D103+D111+D124+D115+D107+D79+D95</f>
    </oc>
    <nc r="D66">
      <f>D71+D75+D83+D88+D99+D137+D141+D145+D67+D103+D111+D124+D115+D107+D79+D95+D132</f>
    </nc>
  </rcc>
  <rcc rId="2982" sId="1">
    <oc r="E66">
      <f>E71+E75+E83+E88+E99+E137+E141+E145+E67+E103+E111+E124+E115+E107+E79+E95</f>
    </oc>
    <nc r="E66">
      <f>E71+E75+E83+E88+E99+E137+E141+E145+E67+E103+E111+E124+E115+E107+E79+E95+E132</f>
    </nc>
  </rcc>
  <rcc rId="2983" sId="1">
    <oc r="F66">
      <f>F71+F75+F83+F88+F99+F137+F141+F145+F67+F103+F111+F124+F115+F107+F79+F95</f>
    </oc>
    <nc r="F66">
      <f>F71+F75+F83+F88+F99+F137+F141+F145+F67+F103+F111+F124+F115+F107+F79+F95+F132</f>
    </nc>
  </rcc>
  <rrc rId="2984" sId="1" ref="A125:XFD125" action="insertRow">
    <undo index="0" exp="area" ref3D="1" dr="$A$254:$XFD$258" dn="Z_D9B90A86_BE39_4FED_8226_084809D277F3_.wvu.Rows" sId="1"/>
    <undo index="0" exp="area" ref3D="1" dr="$A$254:$XFD$258" dn="Z_30E81E54_DD45_4653_9DCD_548F6723F554_.wvu.Rows" sId="1"/>
  </rrc>
  <rcc rId="2985" sId="1" xfDxf="1" dxf="1">
    <nc r="B125" t="inlineStr">
      <is>
        <t>03 2 Е2 50970</t>
      </is>
    </nc>
    <ndxf>
      <font>
        <name val="Times New Roman"/>
        <scheme val="none"/>
      </font>
      <alignment horizont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986" sId="1" xfDxf="1" dxf="1">
    <nc r="A125" t="inlineStr">
      <is>
        <t>Создание в общеобразовательных организациях, расположенных в сельской местности, условий для занятий физической культурой и спортом</t>
      </is>
    </nc>
    <ndxf>
      <font>
        <name val="Times New Roman"/>
        <scheme val="none"/>
      </font>
      <alignment horizontal="justify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125:XFD125">
    <dxf>
      <fill>
        <patternFill patternType="solid">
          <bgColor theme="6" tint="0.59999389629810485"/>
        </patternFill>
      </fill>
    </dxf>
  </rfmt>
  <rcc rId="2987" sId="1">
    <nc r="D125">
      <f>D126</f>
    </nc>
  </rcc>
  <rcc rId="2988" sId="1">
    <nc r="E125">
      <f>E126</f>
    </nc>
  </rcc>
  <rcc rId="2989" sId="1">
    <nc r="F125">
      <f>F126</f>
    </nc>
  </rcc>
  <rcc rId="2990" sId="1">
    <oc r="D124">
      <f>D125</f>
    </oc>
    <nc r="D124">
      <f>D125+D129</f>
    </nc>
  </rcc>
  <rcc rId="2991" sId="1">
    <oc r="E124">
      <f>E125</f>
    </oc>
    <nc r="E124">
      <f>E125+E129</f>
    </nc>
  </rcc>
  <rcc rId="2992" sId="1">
    <oc r="F124">
      <f>F125</f>
    </oc>
    <nc r="F124">
      <f>F125+F129</f>
    </nc>
  </rcc>
  <rcv guid="{D9B90A86-BE39-4FED-8226-084809D277F3}" action="delete"/>
  <rdn rId="0" localSheetId="1" customView="1" name="Z_D9B90A86_BE39_4FED_8226_084809D277F3_.wvu.PrintArea" hidden="1" oldHidden="1">
    <formula>'программы '!$A$1:$F$777</formula>
    <oldFormula>'программы '!$A$1:$F$777</oldFormula>
  </rdn>
  <rdn rId="0" localSheetId="1" customView="1" name="Z_D9B90A86_BE39_4FED_8226_084809D277F3_.wvu.Rows" hidden="1" oldHidden="1">
    <formula>'программы '!$255:$259</formula>
    <oldFormula>'программы '!$255:$259</oldFormula>
  </rdn>
  <rdn rId="0" localSheetId="1" customView="1" name="Z_D9B90A86_BE39_4FED_8226_084809D277F3_.wvu.FilterData" hidden="1" oldHidden="1">
    <formula>'программы '!$A$1:$A$790</formula>
    <oldFormula>'программы '!$A$1:$A$790</oldFormula>
  </rdn>
  <rcv guid="{D9B90A86-BE39-4FED-8226-084809D277F3}" action="add"/>
</revisions>
</file>

<file path=xl/revisions/revisionLog2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00" sId="1">
    <oc r="D834">
      <f>7636954.13+3681417.62</f>
    </oc>
    <nc r="D834">
      <f>7636954.13+3681417.62-33955.12</f>
    </nc>
  </rcc>
  <rrc rId="5501" sId="1" ref="A832:XFD832" action="insertRow"/>
  <rrc rId="5502" sId="1" ref="A832:XFD832" action="insertRow"/>
  <rrc rId="5503" sId="1" ref="A832:XFD832" action="insertRow"/>
  <rcc rId="5504" sId="1">
    <nc r="C834">
      <v>244</v>
    </nc>
  </rcc>
  <rcc rId="5505" sId="1">
    <nc r="C833">
      <v>240</v>
    </nc>
  </rcc>
  <rcc rId="5506" sId="1">
    <nc r="C832">
      <v>200</v>
    </nc>
  </rcc>
  <rcc rId="5507" sId="1">
    <nc r="B834" t="inlineStr">
      <is>
        <t>61 1 00 Л8770</t>
      </is>
    </nc>
  </rcc>
  <rcc rId="5508" sId="1">
    <nc r="B833" t="inlineStr">
      <is>
        <t>61 1 00 Л8770</t>
      </is>
    </nc>
  </rcc>
  <rcc rId="5509" sId="1">
    <nc r="B832" t="inlineStr">
      <is>
        <t>61 1 00 Л8770</t>
      </is>
    </nc>
  </rcc>
  <rcc rId="5510" sId="1">
    <nc r="A834" t="inlineStr">
      <is>
        <t xml:space="preserve">Прочая закупка товаров, работ и услуг </t>
      </is>
    </nc>
  </rcc>
  <rcc rId="5511" sId="1">
    <nc r="A833" t="inlineStr">
      <is>
        <t>Иные закупки товаров,работ и услуг для обеспечения государственных (муниципальных) нужд</t>
      </is>
    </nc>
  </rcc>
  <rcc rId="5512" sId="1">
    <nc r="A832" t="inlineStr">
      <is>
        <t>Закупка товаров, работ и услуг для обеспечения государственных (муниципальных) нужд</t>
      </is>
    </nc>
  </rcc>
  <rcc rId="5513" sId="1">
    <nc r="D833">
      <f>D834</f>
    </nc>
  </rcc>
  <rcc rId="5514" sId="1">
    <nc r="E833">
      <f>E834</f>
    </nc>
  </rcc>
  <rcc rId="5515" sId="1">
    <nc r="F833">
      <f>F834</f>
    </nc>
  </rcc>
  <rcc rId="5516" sId="1">
    <nc r="D832">
      <f>D833</f>
    </nc>
  </rcc>
  <rcc rId="5517" sId="1">
    <nc r="E832">
      <f>E833</f>
    </nc>
  </rcc>
  <rcc rId="5518" sId="1">
    <nc r="F832">
      <f>F833</f>
    </nc>
  </rcc>
  <rcc rId="5519" sId="1">
    <oc r="D831">
      <f>D835</f>
    </oc>
    <nc r="D831">
      <f>D835+D832</f>
    </nc>
  </rcc>
  <rcc rId="5520" sId="1">
    <oc r="E831">
      <f>E835</f>
    </oc>
    <nc r="E831">
      <f>E835+E832</f>
    </nc>
  </rcc>
  <rcc rId="5521" sId="1">
    <oc r="F831">
      <f>F835</f>
    </oc>
    <nc r="F831">
      <f>F835+F832</f>
    </nc>
  </rcc>
  <rcc rId="5522" sId="1" numFmtId="34">
    <nc r="D834">
      <v>33955.120000000003</v>
    </nc>
  </rcc>
</revisions>
</file>

<file path=xl/revisions/revisionLog2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23" sId="1" numFmtId="34">
    <oc r="D637">
      <v>120964.19</v>
    </oc>
    <nc r="D637">
      <f>120964.19-55632</f>
    </nc>
  </rcc>
  <rcc rId="5524" sId="1" numFmtId="34">
    <oc r="D638">
      <v>80000</v>
    </oc>
    <nc r="D638">
      <f>80000+55632</f>
    </nc>
  </rcc>
</revisions>
</file>

<file path=xl/revisions/revisionLog2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25" sId="1" numFmtId="34">
    <oc r="E52">
      <v>11693270</v>
    </oc>
    <nc r="E52">
      <f>11693270-2013650</f>
    </nc>
  </rcc>
  <rcc rId="5526" sId="1" numFmtId="34">
    <oc r="F52">
      <v>7005140</v>
    </oc>
    <nc r="F52">
      <f>7005140-1249960</f>
    </nc>
  </rcc>
</revisions>
</file>

<file path=xl/revisions/revisionLog2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27" sId="1" numFmtId="34">
    <oc r="E529">
      <v>31215680.18</v>
    </oc>
    <nc r="E529">
      <v>0</v>
    </nc>
  </rcc>
  <rcc rId="5528" sId="1" numFmtId="34">
    <oc r="F529">
      <v>49042818.079999998</v>
    </oc>
    <nc r="F529">
      <v>0</v>
    </nc>
  </rcc>
</revisions>
</file>

<file path=xl/revisions/revisionLog2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17:C17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cc rId="5529" sId="1">
    <oc r="D212">
      <v>850000</v>
    </oc>
    <nc r="D212">
      <f>850000-152500</f>
    </nc>
  </rcc>
  <rcv guid="{D9B90A86-BE39-4FED-8226-084809D277F3}" action="delete"/>
  <rdn rId="0" localSheetId="1" customView="1" name="Z_D9B90A86_BE39_4FED_8226_084809D277F3_.wvu.PrintArea" hidden="1" oldHidden="1">
    <formula>'программы '!$A$1:$F$931</formula>
    <oldFormula>'программы '!$A$1:$F$931</oldFormula>
  </rdn>
  <rdn rId="0" localSheetId="1" customView="1" name="Z_D9B90A86_BE39_4FED_8226_084809D277F3_.wvu.FilterData" hidden="1" oldHidden="1">
    <formula>'программы '!$C$1:$C$939</formula>
    <oldFormula>'программы '!$C$1:$C$939</oldFormula>
  </rdn>
  <rcv guid="{D9B90A86-BE39-4FED-8226-084809D277F3}" action="add"/>
</revisions>
</file>

<file path=xl/revisions/revisionLog2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32" sId="1" numFmtId="34">
    <oc r="D437">
      <v>345925.05</v>
    </oc>
    <nc r="D437">
      <f>345925.05+1455320</f>
    </nc>
  </rcc>
</revisions>
</file>

<file path=xl/revisions/revisionLog2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33" sId="1">
    <oc r="D582">
      <f>75000+75000-75000</f>
    </oc>
    <nc r="D582">
      <f>75000+75000-75000-75000</f>
    </nc>
  </rcc>
  <rcc rId="5534" sId="1" numFmtId="34">
    <oc r="D715">
      <v>97856.79</v>
    </oc>
    <nc r="D715">
      <f>97856.79+270000</f>
    </nc>
  </rcc>
</revisions>
</file>

<file path=xl/revisions/revisionLog2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35" sId="1" numFmtId="34">
    <oc r="D604">
      <v>16244589.949999999</v>
    </oc>
    <nc r="D604">
      <f>16244589.95-580581.43</f>
    </nc>
  </rcc>
</revisions>
</file>

<file path=xl/revisions/revisionLog2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36" sId="1">
    <oc r="D824">
      <f>180000+100000+50000+146527.67</f>
    </oc>
    <nc r="D824">
      <f>180000+100000+50000+146527.67+100000</f>
    </nc>
  </rcc>
</revisions>
</file>

<file path=xl/revisions/revisionLog2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37" sId="1" numFmtId="34">
    <oc r="D867">
      <v>100000</v>
    </oc>
    <nc r="D867">
      <f>100000-40353.4</f>
    </nc>
  </rcc>
  <rcc rId="5538" sId="1" numFmtId="34">
    <oc r="D892">
      <v>100000</v>
    </oc>
    <nc r="D892">
      <f>100000-56143.1</f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996" sId="1" ref="A164:XFD164" action="insertRow">
    <undo index="0" exp="area" ref3D="1" dr="$A$255:$XFD$259" dn="Z_D9B90A86_BE39_4FED_8226_084809D277F3_.wvu.Rows" sId="1"/>
    <undo index="0" exp="area" ref3D="1" dr="$A$255:$XFD$259" dn="Z_30E81E54_DD45_4653_9DCD_548F6723F554_.wvu.Rows" sId="1"/>
  </rrc>
  <rrc rId="2997" sId="1" ref="A164:XFD164" action="insertRow">
    <undo index="0" exp="area" ref3D="1" dr="$A$256:$XFD$260" dn="Z_D9B90A86_BE39_4FED_8226_084809D277F3_.wvu.Rows" sId="1"/>
    <undo index="0" exp="area" ref3D="1" dr="$A$256:$XFD$260" dn="Z_30E81E54_DD45_4653_9DCD_548F6723F554_.wvu.Rows" sId="1"/>
  </rrc>
  <rrc rId="2998" sId="1" ref="A164:XFD164" action="insertRow">
    <undo index="0" exp="area" ref3D="1" dr="$A$257:$XFD$261" dn="Z_D9B90A86_BE39_4FED_8226_084809D277F3_.wvu.Rows" sId="1"/>
    <undo index="0" exp="area" ref3D="1" dr="$A$257:$XFD$261" dn="Z_30E81E54_DD45_4653_9DCD_548F6723F554_.wvu.Rows" sId="1"/>
  </rrc>
  <rrc rId="2999" sId="1" ref="A164:XFD164" action="insertRow">
    <undo index="0" exp="area" ref3D="1" dr="$A$258:$XFD$262" dn="Z_D9B90A86_BE39_4FED_8226_084809D277F3_.wvu.Rows" sId="1"/>
    <undo index="0" exp="area" ref3D="1" dr="$A$258:$XFD$262" dn="Z_30E81E54_DD45_4653_9DCD_548F6723F554_.wvu.Rows" sId="1"/>
  </rrc>
  <rrc rId="3000" sId="1" ref="A164:XFD164" action="insertRow">
    <undo index="0" exp="area" ref3D="1" dr="$A$259:$XFD$263" dn="Z_D9B90A86_BE39_4FED_8226_084809D277F3_.wvu.Rows" sId="1"/>
    <undo index="0" exp="area" ref3D="1" dr="$A$259:$XFD$263" dn="Z_30E81E54_DD45_4653_9DCD_548F6723F554_.wvu.Rows" sId="1"/>
  </rrc>
  <rcc rId="3001" sId="1" xfDxf="1" dxf="1">
    <nc r="B164" t="inlineStr">
      <is>
        <t>03 3 E2 00000</t>
      </is>
    </nc>
    <ndxf>
      <font>
        <name val="Times New Roman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02" sId="1" xfDxf="1" dxf="1">
    <nc r="B165" t="inlineStr">
      <is>
        <t>03 3 E2 51712</t>
      </is>
    </nc>
    <ndxf>
      <font>
        <name val="Times New Roman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03" sId="1" xfDxf="1" dxf="1">
    <nc r="B166" t="inlineStr">
      <is>
        <t>03 3 E2 51712</t>
      </is>
    </nc>
    <ndxf>
      <font>
        <name val="Times New Roman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04" sId="1" xfDxf="1" dxf="1">
    <nc r="B167" t="inlineStr">
      <is>
        <t>03 3 E2 51712</t>
      </is>
    </nc>
    <ndxf>
      <font>
        <name val="Times New Roman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05" sId="1" xfDxf="1" dxf="1">
    <nc r="B168" t="inlineStr">
      <is>
        <t>03 3 E2 51712</t>
      </is>
    </nc>
    <ndxf>
      <font>
        <name val="Times New Roman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06" sId="1">
    <nc r="C168">
      <v>612</v>
    </nc>
  </rcc>
  <rcc rId="3007" sId="1">
    <nc r="C167">
      <v>610</v>
    </nc>
  </rcc>
  <rcc rId="3008" sId="1">
    <nc r="C166">
      <v>600</v>
    </nc>
  </rcc>
  <rcc rId="3009" sId="1" xfDxf="1" dxf="1">
    <nc r="A164" t="inlineStr">
      <is>
        <t>Мероприятия в рамках Федерального проекта "Успех каждого ребенка"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10" sId="1" xfDxf="1" dxf="1">
    <nc r="A165" t="inlineStr">
      <is>
    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организациях.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11" sId="1" xfDxf="1" dxf="1">
    <nc r="A166" t="inlineStr">
      <is>
        <t>Предоставление субсидий бюджетным, автономным учреждениям и иным некоммерческим организациям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12" sId="1" xfDxf="1" dxf="1">
    <nc r="A167" t="inlineStr">
      <is>
        <t>Субсидии бюджетным учреждениям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13" sId="1" xfDxf="1" dxf="1">
    <nc r="A168" t="inlineStr">
      <is>
        <t>Субсидии бюджетным учреждениям на иные цели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14" sId="1">
    <nc r="D167">
      <f>D168</f>
    </nc>
  </rcc>
  <rcc rId="3015" sId="1">
    <nc r="E167">
      <f>E168</f>
    </nc>
  </rcc>
  <rcc rId="3016" sId="1">
    <nc r="F167">
      <f>F168</f>
    </nc>
  </rcc>
  <rcc rId="3017" sId="1">
    <nc r="D166">
      <f>D167</f>
    </nc>
  </rcc>
  <rcc rId="3018" sId="1">
    <nc r="E166">
      <f>E167</f>
    </nc>
  </rcc>
  <rcc rId="3019" sId="1">
    <nc r="F166">
      <f>F167</f>
    </nc>
  </rcc>
  <rcc rId="3020" sId="1">
    <nc r="D165">
      <f>D166</f>
    </nc>
  </rcc>
  <rcc rId="3021" sId="1">
    <nc r="E165">
      <f>E166</f>
    </nc>
  </rcc>
  <rcc rId="3022" sId="1">
    <nc r="F165">
      <f>F166</f>
    </nc>
  </rcc>
  <rcc rId="3023" sId="1">
    <nc r="D164">
      <f>D165</f>
    </nc>
  </rcc>
  <rcc rId="3024" sId="1">
    <nc r="E164">
      <f>E165</f>
    </nc>
  </rcc>
  <rcc rId="3025" sId="1">
    <nc r="F164">
      <f>F165</f>
    </nc>
  </rcc>
  <rrc rId="3026" sId="1" ref="A163:XFD167" action="insertRow">
    <undo index="0" exp="area" ref3D="1" dr="$A$260:$XFD$264" dn="Z_D9B90A86_BE39_4FED_8226_084809D277F3_.wvu.Rows" sId="1"/>
    <undo index="0" exp="area" ref3D="1" dr="$A$260:$XFD$264" dn="Z_30E81E54_DD45_4653_9DCD_548F6723F554_.wvu.Rows" sId="1"/>
  </rrc>
  <rm rId="3027" sheetId="1" source="A169:XFD173" destination="A163:XFD167" sourceSheetId="1">
    <rfmt sheetId="1" xfDxf="1" sqref="A163:XFD163" start="0" length="0">
      <dxf>
        <font>
          <name val="Times New Roman"/>
          <scheme val="none"/>
        </font>
        <alignment vertical="center" readingOrder="0"/>
      </dxf>
    </rfmt>
    <rfmt sheetId="1" xfDxf="1" sqref="A164:XFD164" start="0" length="0">
      <dxf>
        <font>
          <name val="Times New Roman"/>
          <scheme val="none"/>
        </font>
        <alignment vertical="center" readingOrder="0"/>
      </dxf>
    </rfmt>
    <rfmt sheetId="1" xfDxf="1" sqref="A165:XFD165" start="0" length="0">
      <dxf>
        <font>
          <name val="Times New Roman"/>
          <scheme val="none"/>
        </font>
        <alignment vertical="center" readingOrder="0"/>
      </dxf>
    </rfmt>
    <rfmt sheetId="1" xfDxf="1" sqref="A166:XFD166" start="0" length="0">
      <dxf>
        <font>
          <name val="Times New Roman"/>
          <scheme val="none"/>
        </font>
        <alignment vertical="center" readingOrder="0"/>
      </dxf>
    </rfmt>
    <rfmt sheetId="1" xfDxf="1" sqref="A167:XFD167" start="0" length="0">
      <dxf>
        <font>
          <name val="Times New Roman"/>
          <scheme val="none"/>
        </font>
        <alignment vertical="center" readingOrder="0"/>
      </dxf>
    </rfmt>
    <rfmt sheetId="1" sqref="A163" start="0" length="0">
      <dxf>
        <numFmt numFmtId="30" formatCode="@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B163" start="0" length="0">
      <dxf>
        <numFmt numFmtId="165" formatCode="_(* #,##0.0_);_(* \(#,##0.0\);_(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163" start="0" length="0">
      <dxf>
        <numFmt numFmtId="166" formatCode="_(* #,##0_);_(* \(#,##0\);_(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163" start="0" length="0">
      <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163" start="0" length="0">
      <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163" start="0" length="0">
      <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64" start="0" length="0">
      <dxf>
        <numFmt numFmtId="30" formatCode="@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B164" start="0" length="0">
      <dxf>
        <numFmt numFmtId="165" formatCode="_(* #,##0.0_);_(* \(#,##0.0\);_(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164" start="0" length="0">
      <dxf>
        <numFmt numFmtId="166" formatCode="_(* #,##0_);_(* \(#,##0\);_(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164" start="0" length="0">
      <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164" start="0" length="0">
      <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164" start="0" length="0">
      <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65" start="0" length="0">
      <dxf>
        <numFmt numFmtId="30" formatCode="@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B165" start="0" length="0">
      <dxf>
        <numFmt numFmtId="165" formatCode="_(* #,##0.0_);_(* \(#,##0.0\);_(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165" start="0" length="0">
      <dxf>
        <numFmt numFmtId="166" formatCode="_(* #,##0_);_(* \(#,##0\);_(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165" start="0" length="0">
      <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165" start="0" length="0">
      <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165" start="0" length="0">
      <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66" start="0" length="0">
      <dxf>
        <numFmt numFmtId="30" formatCode="@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B166" start="0" length="0">
      <dxf>
        <numFmt numFmtId="165" formatCode="_(* #,##0.0_);_(* \(#,##0.0\);_(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166" start="0" length="0">
      <dxf>
        <numFmt numFmtId="166" formatCode="_(* #,##0_);_(* \(#,##0\);_(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166" start="0" length="0">
      <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166" start="0" length="0">
      <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166" start="0" length="0">
      <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167" start="0" length="0">
      <dxf>
        <numFmt numFmtId="30" formatCode="@"/>
        <alignment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B167" start="0" length="0">
      <dxf>
        <numFmt numFmtId="165" formatCode="_(* #,##0.0_);_(* \(#,##0.0\);_(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167" start="0" length="0">
      <dxf>
        <numFmt numFmtId="166" formatCode="_(* #,##0_);_(* \(#,##0\);_(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167" start="0" length="0">
      <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167" start="0" length="0">
      <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167" start="0" length="0">
      <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m>
  <rrc rId="3028" sId="1" ref="A169:XFD169" action="deleteRow">
    <undo index="0" exp="area" ref3D="1" dr="$A$265:$XFD$269" dn="Z_D9B90A86_BE39_4FED_8226_084809D277F3_.wvu.Rows" sId="1"/>
    <undo index="0" exp="area" ref3D="1" dr="$A$265:$XFD$269" dn="Z_30E81E54_DD45_4653_9DCD_548F6723F554_.wvu.Rows" sId="1"/>
    <rfmt sheetId="1" xfDxf="1" sqref="A169:XFD169" start="0" length="0">
      <dxf>
        <font>
          <sz val="11"/>
          <name val="Times New Roman"/>
          <scheme val="none"/>
        </font>
        <alignment vertical="center" readingOrder="0"/>
      </dxf>
    </rfmt>
    <rfmt sheetId="1" sqref="B169" start="0" length="0">
      <dxf>
        <alignment horizontal="center" readingOrder="0"/>
      </dxf>
    </rfmt>
    <rfmt sheetId="1" sqref="C169" start="0" length="0">
      <dxf>
        <alignment horizontal="center" readingOrder="0"/>
      </dxf>
    </rfmt>
    <rfmt sheetId="1" sqref="D169" start="0" length="0">
      <dxf>
        <numFmt numFmtId="164" formatCode="_-* #,##0.00_р_._-;\-* #,##0.00_р_._-;_-* &quot;-&quot;??_р_._-;_-@_-"/>
      </dxf>
    </rfmt>
    <rfmt sheetId="1" sqref="E169" start="0" length="0">
      <dxf>
        <numFmt numFmtId="164" formatCode="_-* #,##0.00_р_._-;\-* #,##0.00_р_._-;_-* &quot;-&quot;??_р_._-;_-@_-"/>
      </dxf>
    </rfmt>
    <rfmt sheetId="1" sqref="F169" start="0" length="0">
      <dxf>
        <numFmt numFmtId="164" formatCode="_-* #,##0.00_р_._-;\-* #,##0.00_р_._-;_-* &quot;-&quot;??_р_._-;_-@_-"/>
      </dxf>
    </rfmt>
  </rrc>
  <rrc rId="3029" sId="1" ref="A169:XFD169" action="deleteRow">
    <undo index="0" exp="area" ref3D="1" dr="$A$264:$XFD$268" dn="Z_D9B90A86_BE39_4FED_8226_084809D277F3_.wvu.Rows" sId="1"/>
    <undo index="0" exp="area" ref3D="1" dr="$A$264:$XFD$268" dn="Z_30E81E54_DD45_4653_9DCD_548F6723F554_.wvu.Rows" sId="1"/>
    <rfmt sheetId="1" xfDxf="1" sqref="A169:XFD169" start="0" length="0">
      <dxf>
        <font>
          <sz val="11"/>
          <name val="Times New Roman"/>
          <scheme val="none"/>
        </font>
        <alignment vertical="center" readingOrder="0"/>
      </dxf>
    </rfmt>
    <rfmt sheetId="1" sqref="B169" start="0" length="0">
      <dxf>
        <alignment horizontal="center" readingOrder="0"/>
      </dxf>
    </rfmt>
    <rfmt sheetId="1" sqref="C169" start="0" length="0">
      <dxf>
        <alignment horizontal="center" readingOrder="0"/>
      </dxf>
    </rfmt>
    <rfmt sheetId="1" sqref="D169" start="0" length="0">
      <dxf>
        <numFmt numFmtId="164" formatCode="_-* #,##0.00_р_._-;\-* #,##0.00_р_._-;_-* &quot;-&quot;??_р_._-;_-@_-"/>
      </dxf>
    </rfmt>
    <rfmt sheetId="1" sqref="E169" start="0" length="0">
      <dxf>
        <numFmt numFmtId="164" formatCode="_-* #,##0.00_р_._-;\-* #,##0.00_р_._-;_-* &quot;-&quot;??_р_._-;_-@_-"/>
      </dxf>
    </rfmt>
    <rfmt sheetId="1" sqref="F169" start="0" length="0">
      <dxf>
        <numFmt numFmtId="164" formatCode="_-* #,##0.00_р_._-;\-* #,##0.00_р_._-;_-* &quot;-&quot;??_р_._-;_-@_-"/>
      </dxf>
    </rfmt>
  </rrc>
  <rrc rId="3030" sId="1" ref="A169:XFD169" action="deleteRow">
    <undo index="0" exp="area" ref3D="1" dr="$A$263:$XFD$267" dn="Z_D9B90A86_BE39_4FED_8226_084809D277F3_.wvu.Rows" sId="1"/>
    <undo index="0" exp="area" ref3D="1" dr="$A$263:$XFD$267" dn="Z_30E81E54_DD45_4653_9DCD_548F6723F554_.wvu.Rows" sId="1"/>
    <rfmt sheetId="1" xfDxf="1" sqref="A169:XFD169" start="0" length="0">
      <dxf>
        <font>
          <sz val="11"/>
          <name val="Times New Roman"/>
          <scheme val="none"/>
        </font>
        <alignment vertical="center" readingOrder="0"/>
      </dxf>
    </rfmt>
    <rfmt sheetId="1" sqref="B169" start="0" length="0">
      <dxf>
        <alignment horizontal="center" readingOrder="0"/>
      </dxf>
    </rfmt>
    <rfmt sheetId="1" sqref="C169" start="0" length="0">
      <dxf>
        <alignment horizontal="center" readingOrder="0"/>
      </dxf>
    </rfmt>
    <rfmt sheetId="1" sqref="D169" start="0" length="0">
      <dxf>
        <numFmt numFmtId="164" formatCode="_-* #,##0.00_р_._-;\-* #,##0.00_р_._-;_-* &quot;-&quot;??_р_._-;_-@_-"/>
      </dxf>
    </rfmt>
    <rfmt sheetId="1" sqref="E169" start="0" length="0">
      <dxf>
        <numFmt numFmtId="164" formatCode="_-* #,##0.00_р_._-;\-* #,##0.00_р_._-;_-* &quot;-&quot;??_р_._-;_-@_-"/>
      </dxf>
    </rfmt>
    <rfmt sheetId="1" sqref="F169" start="0" length="0">
      <dxf>
        <numFmt numFmtId="164" formatCode="_-* #,##0.00_р_._-;\-* #,##0.00_р_._-;_-* &quot;-&quot;??_р_._-;_-@_-"/>
      </dxf>
    </rfmt>
  </rrc>
  <rrc rId="3031" sId="1" ref="A169:XFD169" action="deleteRow">
    <undo index="0" exp="area" ref3D="1" dr="$A$262:$XFD$266" dn="Z_D9B90A86_BE39_4FED_8226_084809D277F3_.wvu.Rows" sId="1"/>
    <undo index="0" exp="area" ref3D="1" dr="$A$262:$XFD$266" dn="Z_30E81E54_DD45_4653_9DCD_548F6723F554_.wvu.Rows" sId="1"/>
    <rfmt sheetId="1" xfDxf="1" sqref="A169:XFD169" start="0" length="0">
      <dxf>
        <font>
          <sz val="11"/>
          <name val="Times New Roman"/>
          <scheme val="none"/>
        </font>
        <alignment vertical="center" readingOrder="0"/>
      </dxf>
    </rfmt>
    <rfmt sheetId="1" sqref="B169" start="0" length="0">
      <dxf>
        <alignment horizontal="center" readingOrder="0"/>
      </dxf>
    </rfmt>
    <rfmt sheetId="1" sqref="C169" start="0" length="0">
      <dxf>
        <alignment horizontal="center" readingOrder="0"/>
      </dxf>
    </rfmt>
    <rfmt sheetId="1" sqref="D169" start="0" length="0">
      <dxf>
        <numFmt numFmtId="164" formatCode="_-* #,##0.00_р_._-;\-* #,##0.00_р_._-;_-* &quot;-&quot;??_р_._-;_-@_-"/>
      </dxf>
    </rfmt>
    <rfmt sheetId="1" sqref="E169" start="0" length="0">
      <dxf>
        <numFmt numFmtId="164" formatCode="_-* #,##0.00_р_._-;\-* #,##0.00_р_._-;_-* &quot;-&quot;??_р_._-;_-@_-"/>
      </dxf>
    </rfmt>
    <rfmt sheetId="1" sqref="F169" start="0" length="0">
      <dxf>
        <numFmt numFmtId="164" formatCode="_-* #,##0.00_р_._-;\-* #,##0.00_р_._-;_-* &quot;-&quot;??_р_._-;_-@_-"/>
      </dxf>
    </rfmt>
  </rrc>
  <rrc rId="3032" sId="1" ref="A169:XFD169" action="deleteRow">
    <undo index="0" exp="area" ref3D="1" dr="$A$261:$XFD$265" dn="Z_D9B90A86_BE39_4FED_8226_084809D277F3_.wvu.Rows" sId="1"/>
    <undo index="0" exp="area" ref3D="1" dr="$A$261:$XFD$265" dn="Z_30E81E54_DD45_4653_9DCD_548F6723F554_.wvu.Rows" sId="1"/>
    <rfmt sheetId="1" xfDxf="1" sqref="A169:XFD169" start="0" length="0">
      <dxf>
        <font>
          <sz val="11"/>
          <name val="Times New Roman"/>
          <scheme val="none"/>
        </font>
        <alignment vertical="center" readingOrder="0"/>
      </dxf>
    </rfmt>
    <rfmt sheetId="1" sqref="B169" start="0" length="0">
      <dxf>
        <alignment horizontal="center" readingOrder="0"/>
      </dxf>
    </rfmt>
    <rfmt sheetId="1" sqref="C169" start="0" length="0">
      <dxf>
        <alignment horizontal="center" readingOrder="0"/>
      </dxf>
    </rfmt>
    <rfmt sheetId="1" sqref="D169" start="0" length="0">
      <dxf>
        <numFmt numFmtId="164" formatCode="_-* #,##0.00_р_._-;\-* #,##0.00_р_._-;_-* &quot;-&quot;??_р_._-;_-@_-"/>
      </dxf>
    </rfmt>
    <rfmt sheetId="1" sqref="E169" start="0" length="0">
      <dxf>
        <numFmt numFmtId="164" formatCode="_-* #,##0.00_р_._-;\-* #,##0.00_р_._-;_-* &quot;-&quot;??_р_._-;_-@_-"/>
      </dxf>
    </rfmt>
    <rfmt sheetId="1" sqref="F169" start="0" length="0">
      <dxf>
        <numFmt numFmtId="164" formatCode="_-* #,##0.00_р_._-;\-* #,##0.00_р_._-;_-* &quot;-&quot;??_р_._-;_-@_-"/>
      </dxf>
    </rfmt>
  </rrc>
  <rcc rId="3033" sId="1">
    <oc r="D150">
      <f>D151+D155+D159+D168</f>
    </oc>
    <nc r="D150">
      <f>D151+D155+D159+D168+D163</f>
    </nc>
  </rcc>
  <rcc rId="3034" sId="1">
    <oc r="E150">
      <f>E151+E155+E159+E168</f>
    </oc>
    <nc r="E150">
      <f>E151+E155+E159+E168+E163</f>
    </nc>
  </rcc>
  <rcc rId="3035" sId="1">
    <oc r="F150">
      <f>F151+F155+F159+F168</f>
    </oc>
    <nc r="F150">
      <f>F151+F155+F159+F168+F163</f>
    </nc>
  </rcc>
  <rfmt sheetId="1" sqref="A163:XFD167">
    <dxf>
      <fill>
        <patternFill patternType="solid">
          <bgColor theme="6" tint="0.59999389629810485"/>
        </patternFill>
      </fill>
    </dxf>
  </rfmt>
  <rcv guid="{D9B90A86-BE39-4FED-8226-084809D277F3}" action="delete"/>
  <rdn rId="0" localSheetId="1" customView="1" name="Z_D9B90A86_BE39_4FED_8226_084809D277F3_.wvu.PrintArea" hidden="1" oldHidden="1">
    <formula>'программы '!$A$1:$F$782</formula>
    <oldFormula>'программы '!$A$1:$F$782</oldFormula>
  </rdn>
  <rdn rId="0" localSheetId="1" customView="1" name="Z_D9B90A86_BE39_4FED_8226_084809D277F3_.wvu.Rows" hidden="1" oldHidden="1">
    <formula>'программы '!$260:$264</formula>
    <oldFormula>'программы '!$260:$264</oldFormula>
  </rdn>
  <rdn rId="0" localSheetId="1" customView="1" name="Z_D9B90A86_BE39_4FED_8226_084809D277F3_.wvu.FilterData" hidden="1" oldHidden="1">
    <formula>'программы '!$A$1:$A$795</formula>
    <oldFormula>'программы '!$A$1:$A$795</oldFormula>
  </rdn>
  <rcv guid="{D9B90A86-BE39-4FED-8226-084809D277F3}" action="add"/>
</revisions>
</file>

<file path=xl/revisions/revisionLog2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39" sId="1" numFmtId="34">
    <oc r="D377">
      <v>1252060.8600000001</v>
    </oc>
    <nc r="D377">
      <f>1252060.86-285902.58</f>
    </nc>
  </rcc>
  <rcc rId="5540" sId="1">
    <oc r="D774">
      <f>2874890.87-97542.24-141627.76+417670</f>
    </oc>
    <nc r="D774">
      <f>2874890.87-97542.24-141627.76+417670-50000</f>
    </nc>
  </rcc>
</revisions>
</file>

<file path=xl/revisions/revisionLog2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41" sId="1">
    <oc r="D252">
      <f>6128158.25-40062-2067.32</f>
    </oc>
    <nc r="D252">
      <f>6128158.25-40062-2067.32-500000</f>
    </nc>
  </rcc>
</revisions>
</file>

<file path=xl/revisions/revisionLog2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42" sId="1">
    <oc r="D765">
      <f>1300000+66344.57</f>
    </oc>
    <nc r="D765">
      <f>1300000+66344.57-1300000</f>
    </nc>
  </rcc>
</revisions>
</file>

<file path=xl/revisions/revisionLog2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43" sId="1">
    <oc r="D260">
      <f>4772643.2+40062+226164.2+100000+200000+1087386</f>
    </oc>
    <nc r="D260">
      <f>4772643.2+40062+226164.2+100000+200000+1087386+100000</f>
    </nc>
  </rcc>
</revisions>
</file>

<file path=xl/revisions/revisionLog2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907:XFD907">
    <dxf>
      <fill>
        <patternFill>
          <bgColor rgb="FFFF0000"/>
        </patternFill>
      </fill>
    </dxf>
  </rfmt>
  <rcc rId="5544" sId="1">
    <oc r="D907">
      <f>11409500-2850000-5850000-1147500</f>
    </oc>
    <nc r="D907">
      <f>11409500-2850000-5850000-1147500+0.89</f>
    </nc>
  </rcc>
</revisions>
</file>

<file path=xl/revisions/revisionLog2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45" sId="1" numFmtId="34">
    <oc r="D553">
      <v>2051966</v>
    </oc>
    <nc r="D553">
      <f>2051966+600000</f>
    </nc>
  </rcc>
</revisions>
</file>

<file path=xl/revisions/revisionLog2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46" sId="1">
    <oc r="D604">
      <f>16244589.95-580581.43</f>
    </oc>
    <nc r="D604">
      <f>16244589.95-580581.43-0.89</f>
    </nc>
  </rcc>
</revisions>
</file>

<file path=xl/revisions/revisionLog2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47" sId="1" numFmtId="34">
    <oc r="D769">
      <v>11005600</v>
    </oc>
    <nc r="D769">
      <f>11005600+950066.3</f>
    </nc>
  </rcc>
</revisions>
</file>

<file path=xl/revisions/revisionLog2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48" sId="1">
    <oc r="D139">
      <f>26819445.58+6672754.28</f>
    </oc>
    <nc r="D139">
      <f>26819445.58+6672754.28-56700.84</f>
    </nc>
  </rcc>
</revisions>
</file>

<file path=xl/revisions/revisionLog2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49" sId="1">
    <oc r="D824">
      <f>180000+100000+50000+146527.67+100000</f>
    </oc>
    <nc r="D824">
      <f>180000+100000+50000+146527.67+100000+100000</f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039" sId="1" ref="A205:XFD205" action="insertRow">
    <undo index="0" exp="area" ref3D="1" dr="$A$260:$XFD$264" dn="Z_D9B90A86_BE39_4FED_8226_084809D277F3_.wvu.Rows" sId="1"/>
    <undo index="0" exp="area" ref3D="1" dr="$A$260:$XFD$264" dn="Z_30E81E54_DD45_4653_9DCD_548F6723F554_.wvu.Rows" sId="1"/>
  </rrc>
  <rrc rId="3040" sId="1" ref="A205:XFD205" action="insertRow">
    <undo index="0" exp="area" ref3D="1" dr="$A$261:$XFD$265" dn="Z_D9B90A86_BE39_4FED_8226_084809D277F3_.wvu.Rows" sId="1"/>
    <undo index="0" exp="area" ref3D="1" dr="$A$261:$XFD$265" dn="Z_30E81E54_DD45_4653_9DCD_548F6723F554_.wvu.Rows" sId="1"/>
  </rrc>
  <rrc rId="3041" sId="1" ref="A205:XFD205" action="insertRow">
    <undo index="0" exp="area" ref3D="1" dr="$A$262:$XFD$266" dn="Z_D9B90A86_BE39_4FED_8226_084809D277F3_.wvu.Rows" sId="1"/>
    <undo index="0" exp="area" ref3D="1" dr="$A$262:$XFD$266" dn="Z_30E81E54_DD45_4653_9DCD_548F6723F554_.wvu.Rows" sId="1"/>
  </rrc>
  <rrc rId="3042" sId="1" ref="A205:XFD205" action="insertRow">
    <undo index="0" exp="area" ref3D="1" dr="$A$263:$XFD$267" dn="Z_D9B90A86_BE39_4FED_8226_084809D277F3_.wvu.Rows" sId="1"/>
    <undo index="0" exp="area" ref3D="1" dr="$A$263:$XFD$267" dn="Z_30E81E54_DD45_4653_9DCD_548F6723F554_.wvu.Rows" sId="1"/>
  </rrc>
  <rcc rId="3043" sId="1" xfDxf="1" s="1" dxf="1">
    <nc r="B205" t="inlineStr">
      <is>
        <t>03 5 00 R4941</t>
      </is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_(* #,##0.0_);_(* \(#,##0.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44" sId="1" xfDxf="1" s="1" dxf="1">
    <nc r="B206" t="inlineStr">
      <is>
        <t>03 5 00 R4941</t>
      </is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_(* #,##0.0_);_(* \(#,##0.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45" sId="1" xfDxf="1" s="1" dxf="1">
    <nc r="B207" t="inlineStr">
      <is>
        <t>03 5 00 R4941</t>
      </is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_(* #,##0.0_);_(* \(#,##0.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46" sId="1" xfDxf="1" s="1" dxf="1">
    <nc r="B208" t="inlineStr">
      <is>
        <t>03 5 00 R4941</t>
      </is>
    </nc>
    <n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_(* #,##0.0_);_(* \(#,##0.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205:F208" start="0" length="2147483647">
    <dxf>
      <font>
        <b val="0"/>
      </font>
    </dxf>
  </rfmt>
  <rcc rId="3047" sId="1">
    <nc r="C208">
      <v>612</v>
    </nc>
  </rcc>
  <rcc rId="3048" sId="1">
    <nc r="C207">
      <v>610</v>
    </nc>
  </rcc>
  <rcc rId="3049" sId="1">
    <nc r="C206">
      <v>600</v>
    </nc>
  </rcc>
  <rcc rId="3050" sId="1" xfDxf="1" dxf="1">
    <nc r="A205" t="inlineStr">
      <is>
        <t>Реализация мероприятий, направленных на создание современной инфраструктуры для детей и их оздоровления путем возведения некапитальных строений, сооружений (быстровозводимых конструкций), а также при проведении капитального ремонта объектов инфраструктуры организация отдыха детей и их оздоровления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051" sId="1" xfDxf="1" dxf="1">
    <nc r="A206" t="inlineStr">
      <is>
        <t>Предоставление субсидий бюджетным, автономным учреждениям и иным некоммерческим организациям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052" sId="1" xfDxf="1" dxf="1">
    <nc r="A207" t="inlineStr">
      <is>
        <t>Субсидии бюджетным учреждениям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053" sId="1" xfDxf="1" dxf="1">
    <nc r="A208" t="inlineStr">
      <is>
        <t>Субсидии бюджетным учреждениям на иные цели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054" sId="1">
    <nc r="D207">
      <f>D208</f>
    </nc>
  </rcc>
  <rcc rId="3055" sId="1">
    <nc r="E207">
      <f>E208</f>
    </nc>
  </rcc>
  <rcc rId="3056" sId="1">
    <nc r="F207">
      <f>F208</f>
    </nc>
  </rcc>
  <rcc rId="3057" sId="1">
    <nc r="D206">
      <f>D207</f>
    </nc>
  </rcc>
  <rcc rId="3058" sId="1">
    <nc r="E206">
      <f>E207</f>
    </nc>
  </rcc>
  <rcc rId="3059" sId="1">
    <nc r="F206">
      <f>F207</f>
    </nc>
  </rcc>
  <rcc rId="3060" sId="1">
    <nc r="D205">
      <f>D206</f>
    </nc>
  </rcc>
  <rcc rId="3061" sId="1">
    <nc r="E205">
      <f>E206</f>
    </nc>
  </rcc>
  <rcc rId="3062" sId="1">
    <nc r="F205">
      <f>F206</f>
    </nc>
  </rcc>
  <rcc rId="3063" sId="1">
    <oc r="D204">
      <f>D209+D213</f>
    </oc>
    <nc r="D204">
      <f>D209+D213+D205</f>
    </nc>
  </rcc>
  <rcc rId="3064" sId="1">
    <oc r="E204">
      <f>E209+E213</f>
    </oc>
    <nc r="E204">
      <f>E209+E213+E205</f>
    </nc>
  </rcc>
  <rcc rId="3065" sId="1">
    <oc r="F204">
      <f>F209+F213</f>
    </oc>
    <nc r="F204">
      <f>F209+F213+F205</f>
    </nc>
  </rcc>
  <rcv guid="{D9B90A86-BE39-4FED-8226-084809D277F3}" action="delete"/>
  <rdn rId="0" localSheetId="1" customView="1" name="Z_D9B90A86_BE39_4FED_8226_084809D277F3_.wvu.PrintArea" hidden="1" oldHidden="1">
    <formula>'программы '!$A$1:$F$786</formula>
    <oldFormula>'программы '!$A$1:$F$786</oldFormula>
  </rdn>
  <rdn rId="0" localSheetId="1" customView="1" name="Z_D9B90A86_BE39_4FED_8226_084809D277F3_.wvu.Rows" hidden="1" oldHidden="1">
    <formula>'программы '!$264:$268</formula>
    <oldFormula>'программы '!$264:$268</oldFormula>
  </rdn>
  <rdn rId="0" localSheetId="1" customView="1" name="Z_D9B90A86_BE39_4FED_8226_084809D277F3_.wvu.FilterData" hidden="1" oldHidden="1">
    <formula>'программы '!$A$1:$A$799</formula>
    <oldFormula>'программы '!$A$1:$A$799</oldFormula>
  </rdn>
  <rcv guid="{D9B90A86-BE39-4FED-8226-084809D277F3}" action="add"/>
</revisions>
</file>

<file path=xl/revisions/revisionLog2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50" sId="1" numFmtId="34">
    <oc r="D272">
      <v>1824193.22</v>
    </oc>
    <nc r="D272">
      <f>1824193.22+955150</f>
    </nc>
  </rcc>
</revisions>
</file>

<file path=xl/revisions/revisionLog2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51" sId="1" numFmtId="34">
    <oc r="E111">
      <v>0</v>
    </oc>
    <nc r="E111">
      <v>3000000</v>
    </nc>
  </rcc>
  <rcc rId="5552" sId="1" numFmtId="34">
    <oc r="D135">
      <v>84058.34</v>
    </oc>
    <nc r="D135">
      <f>84058.34-56700.84</f>
    </nc>
  </rcc>
  <rcc rId="5553" sId="1">
    <oc r="D139">
      <f>26819445.58+6672754.28-56700.84</f>
    </oc>
    <nc r="D139">
      <f>26819445.58+6672754.28</f>
    </nc>
  </rcc>
</revisions>
</file>

<file path=xl/revisions/revisionLog2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54" sId="1">
    <oc r="F70">
      <f>F83+F87+F103+F108+F154+F158+F119+F127+F140+F131+F123+F95+F115+F149+F91+F75+F99+F79+F71</f>
    </oc>
    <nc r="F70">
      <f>F83+F87+F103+F108+F154+F158+F119+F127+F140+F131+F123+F95+F115+F149+F91+F75+F99+F79+F71</f>
    </nc>
  </rcc>
  <rcc rId="5555" sId="1">
    <oc r="E70">
      <f>E83+E87+E103+E108+E154+E158+E119+E127+E140+E131+E123+E95+E115+E149+E91+E75+E99+E79+E71</f>
    </oc>
    <nc r="E70">
      <f>E83+E87+E103+E108+E154+E158+E119+E127+E140+E131+E123+E95+E115+E149+E91+E75+E99+E79+E71</f>
    </nc>
  </rcc>
  <rcc rId="5556" sId="1">
    <oc r="D636">
      <f>3699216.81-166161.24</f>
    </oc>
    <nc r="D636">
      <f>3699216.81-166161.24-608712.36</f>
    </nc>
  </rcc>
  <rcc rId="5557" sId="1">
    <oc r="D639">
      <f>1117163.47-50180.7</f>
    </oc>
    <nc r="D639">
      <f>1117163.47-50180.7-183831.13</f>
    </nc>
  </rcc>
  <rcv guid="{D9B90A86-BE39-4FED-8226-084809D277F3}" action="delete"/>
  <rdn rId="0" localSheetId="1" customView="1" name="Z_D9B90A86_BE39_4FED_8226_084809D277F3_.wvu.PrintArea" hidden="1" oldHidden="1">
    <formula>'программы '!$A$1:$F$931</formula>
    <oldFormula>'программы '!$A$1:$F$931</oldFormula>
  </rdn>
  <rdn rId="0" localSheetId="1" customView="1" name="Z_D9B90A86_BE39_4FED_8226_084809D277F3_.wvu.FilterData" hidden="1" oldHidden="1">
    <formula>'программы '!$C$1:$C$939</formula>
    <oldFormula>'программы '!$C$1:$C$939</oldFormula>
  </rdn>
  <rcv guid="{D9B90A86-BE39-4FED-8226-084809D277F3}" action="add"/>
</revisions>
</file>

<file path=xl/revisions/revisionLog2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60" sId="1">
    <oc r="E929">
      <f>16629257.6-97936.02</f>
    </oc>
    <nc r="E929">
      <f>16629257.6-97936.02-3000000</f>
    </nc>
  </rcc>
</revisions>
</file>

<file path=xl/revisions/revisionLog2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61" sId="1">
    <oc r="D701">
      <f>8457235.47+452891.15+307495-5000-50000</f>
    </oc>
    <nc r="D701">
      <f>8457235.47+452891.15+307495-5000-50000-94296</f>
    </nc>
  </rcc>
</revisions>
</file>

<file path=xl/revisions/revisionLog2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907:XFD907">
    <dxf>
      <fill>
        <patternFill>
          <bgColor theme="0"/>
        </patternFill>
      </fill>
    </dxf>
  </rfmt>
</revisions>
</file>

<file path=xl/revisions/revisionLog2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J1048576">
    <dxf>
      <fill>
        <patternFill>
          <bgColor theme="0"/>
        </patternFill>
      </fill>
    </dxf>
  </rfmt>
  <rcv guid="{D9B90A86-BE39-4FED-8226-084809D277F3}" action="delete"/>
  <rdn rId="0" localSheetId="1" customView="1" name="Z_D9B90A86_BE39_4FED_8226_084809D277F3_.wvu.PrintArea" hidden="1" oldHidden="1">
    <formula>'программы '!$A$1:$F$931</formula>
    <oldFormula>'программы '!$A$1:$F$931</oldFormula>
  </rdn>
  <rdn rId="0" localSheetId="1" customView="1" name="Z_D9B90A86_BE39_4FED_8226_084809D277F3_.wvu.FilterData" hidden="1" oldHidden="1">
    <formula>'программы '!$C$1:$C$939</formula>
    <oldFormula>'программы '!$C$1:$C$939</oldFormula>
  </rdn>
  <rcv guid="{D9B90A86-BE39-4FED-8226-084809D277F3}" action="add"/>
</revisions>
</file>

<file path=xl/revisions/revisionLog2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64" sId="1">
    <oc r="D720">
      <f>460000+140000+50000</f>
    </oc>
    <nc r="D720">
      <f>460000+140000+50000+20000</f>
    </nc>
  </rcc>
  <rcc rId="5565" sId="1">
    <oc r="D715">
      <f>97856.79+270000</f>
    </oc>
    <nc r="D715">
      <f>97856.79+270000-20000</f>
    </nc>
  </rcc>
</revisions>
</file>

<file path=xl/revisions/revisionLog2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66" sId="1">
    <oc r="D31">
      <f>54932575.22-984473.45+1841277.9</f>
    </oc>
    <nc r="D31">
      <f>54932575.22-984473.45+1841277.9+258327.31</f>
    </nc>
  </rcc>
  <rcc rId="5567" sId="1">
    <oc r="D34">
      <f>2659965.94+984473.45-1841277.9</f>
    </oc>
    <nc r="D34">
      <f>2659965.94+984473.45-1841277.9-258327.31</f>
    </nc>
  </rcc>
  <rcv guid="{D9B90A86-BE39-4FED-8226-084809D277F3}" action="delete"/>
  <rdn rId="0" localSheetId="1" customView="1" name="Z_D9B90A86_BE39_4FED_8226_084809D277F3_.wvu.PrintArea" hidden="1" oldHidden="1">
    <formula>'программы '!$A$1:$F$931</formula>
    <oldFormula>'программы '!$A$1:$F$931</oldFormula>
  </rdn>
  <rdn rId="0" localSheetId="1" customView="1" name="Z_D9B90A86_BE39_4FED_8226_084809D277F3_.wvu.FilterData" hidden="1" oldHidden="1">
    <formula>'программы '!$C$1:$C$939</formula>
    <oldFormula>'программы '!$C$1:$C$939</oldFormula>
  </rdn>
  <rcv guid="{D9B90A86-BE39-4FED-8226-084809D277F3}" action="add"/>
</revisions>
</file>

<file path=xl/revisions/revisionLog2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70" sId="1" numFmtId="34">
    <oc r="D44">
      <v>16665000</v>
    </oc>
    <nc r="D44">
      <v>20041300</v>
    </nc>
  </rcc>
  <rcc rId="5571" sId="1" numFmtId="34">
    <oc r="D64">
      <f>101767672.76+3329131.58</f>
    </oc>
    <nc r="D64">
      <v>106096804.34</v>
    </nc>
  </rcc>
  <rcc rId="5572" sId="1" numFmtId="34">
    <oc r="D86">
      <v>31182593.690000001</v>
    </oc>
    <nc r="D86">
      <v>38409353.030000001</v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05:XFD208">
    <dxf>
      <fill>
        <patternFill patternType="solid">
          <bgColor theme="6" tint="0.59999389629810485"/>
        </patternFill>
      </fill>
    </dxf>
  </rfmt>
  <rrc rId="3069" sId="1" ref="A53:XFD53" action="insertRow">
    <undo index="0" exp="area" ref3D="1" dr="$A$264:$XFD$268" dn="Z_D9B90A86_BE39_4FED_8226_084809D277F3_.wvu.Rows" sId="1"/>
    <undo index="0" exp="area" ref3D="1" dr="$A$264:$XFD$268" dn="Z_30E81E54_DD45_4653_9DCD_548F6723F554_.wvu.Rows" sId="1"/>
  </rrc>
  <rrc rId="3070" sId="1" ref="A53:XFD53" action="insertRow">
    <undo index="0" exp="area" ref3D="1" dr="$A$265:$XFD$269" dn="Z_D9B90A86_BE39_4FED_8226_084809D277F3_.wvu.Rows" sId="1"/>
    <undo index="0" exp="area" ref3D="1" dr="$A$265:$XFD$269" dn="Z_30E81E54_DD45_4653_9DCD_548F6723F554_.wvu.Rows" sId="1"/>
  </rrc>
  <rrc rId="3071" sId="1" ref="A53:XFD53" action="insertRow">
    <undo index="0" exp="area" ref3D="1" dr="$A$266:$XFD$270" dn="Z_D9B90A86_BE39_4FED_8226_084809D277F3_.wvu.Rows" sId="1"/>
    <undo index="0" exp="area" ref3D="1" dr="$A$266:$XFD$270" dn="Z_30E81E54_DD45_4653_9DCD_548F6723F554_.wvu.Rows" sId="1"/>
  </rrc>
  <rrc rId="3072" sId="1" ref="A53:XFD53" action="insertRow">
    <undo index="0" exp="area" ref3D="1" dr="$A$267:$XFD$271" dn="Z_D9B90A86_BE39_4FED_8226_084809D277F3_.wvu.Rows" sId="1"/>
    <undo index="0" exp="area" ref3D="1" dr="$A$267:$XFD$271" dn="Z_30E81E54_DD45_4653_9DCD_548F6723F554_.wvu.Rows" sId="1"/>
  </rrc>
  <rcc rId="3073" sId="1">
    <nc r="C56">
      <v>612</v>
    </nc>
  </rcc>
  <rcc rId="3074" sId="1">
    <nc r="C55">
      <v>610</v>
    </nc>
  </rcc>
  <rcc rId="3075" sId="1">
    <nc r="C54">
      <v>600</v>
    </nc>
  </rcc>
  <rcc rId="3076" sId="1" xfDxf="1" dxf="1">
    <nc r="B56" t="inlineStr">
      <is>
        <t>03 1 00 Э4660</t>
      </is>
    </nc>
    <ndxf>
      <font>
        <name val="Times New Roman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7" sId="1" xfDxf="1" dxf="1">
    <nc r="B55" t="inlineStr">
      <is>
        <t>03 1 00 Э4660</t>
      </is>
    </nc>
    <ndxf>
      <font>
        <name val="Times New Roman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8" sId="1" xfDxf="1" dxf="1">
    <nc r="B54" t="inlineStr">
      <is>
        <t>03 1 00 Э4660</t>
      </is>
    </nc>
    <ndxf>
      <font>
        <name val="Times New Roman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79" sId="1" xfDxf="1" dxf="1">
    <nc r="B53" t="inlineStr">
      <is>
        <t>03 1 00 Э4660</t>
      </is>
    </nc>
    <ndxf>
      <font>
        <name val="Times New Roman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80" sId="1" xfDxf="1" dxf="1">
    <nc r="A53" t="inlineStr">
      <is>
        <t>Обеспечение мероприятий по организации предоставления дополнительных мер социальной поддержки семьям граждан принимающих (принимавших) участие в специальной военной операции,в виде бесплатного горячего питания обучающихся по образовательным программам основного общего и среднего общего образования в муниципальных общеобразовательных организациях, бесплатного посещения обучающимися занятий по дополнительным общеобразовательным программам, реализуемым на платной основе муниципальными образовательными организациями, а также бесплатного присмотра за детьми, посещающими муниципальные организации, реализующие программы дошкольного образования, или группы продленного дня в общеобразовательных организациях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81" sId="1" xfDxf="1" dxf="1">
    <nc r="A54" t="inlineStr">
      <is>
        <t>Предоставление субсидий бюджетным, автономным учреждениям и иным некоммерческим организациям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82" sId="1" xfDxf="1" dxf="1">
    <nc r="A55" t="inlineStr">
      <is>
        <t>Субсидии бюджетным учреждениям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83" sId="1" xfDxf="1" dxf="1">
    <nc r="A56" t="inlineStr">
      <is>
        <t>Субсидии бюджетным учреждениям на  иные цели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084" sId="1">
    <nc r="D55">
      <f>D56</f>
    </nc>
  </rcc>
  <rcc rId="3085" sId="1">
    <nc r="E55">
      <f>E56</f>
    </nc>
  </rcc>
  <rcc rId="3086" sId="1">
    <nc r="F55">
      <f>F56</f>
    </nc>
  </rcc>
  <rcc rId="3087" sId="1">
    <nc r="D54">
      <f>D55</f>
    </nc>
  </rcc>
  <rcc rId="3088" sId="1">
    <nc r="E54">
      <f>E55</f>
    </nc>
  </rcc>
  <rcc rId="3089" sId="1">
    <nc r="F54">
      <f>F55</f>
    </nc>
  </rcc>
  <rcc rId="3090" sId="1">
    <nc r="D53">
      <f>D54</f>
    </nc>
  </rcc>
  <rcc rId="3091" sId="1">
    <nc r="E53">
      <f>E54</f>
    </nc>
  </rcc>
  <rcc rId="3092" sId="1">
    <nc r="F53">
      <f>F54</f>
    </nc>
  </rcc>
  <rcc rId="3093" sId="1">
    <oc r="D40">
      <f>D41+D45+D61+D66+D49+D57</f>
    </oc>
    <nc r="D40">
      <f>D41+D45+D61+D66+D49+D57+D53</f>
    </nc>
  </rcc>
  <rcc rId="3094" sId="1">
    <oc r="E40">
      <f>E41+E45+E61+E66+E49+E57</f>
    </oc>
    <nc r="E40">
      <f>E41+E45+E61+E66+E49+E57+E53</f>
    </nc>
  </rcc>
  <rcc rId="3095" sId="1">
    <oc r="F40">
      <f>F41+F45+F61+F66+F49+F57</f>
    </oc>
    <nc r="F40">
      <f>F41+F45+F61+F66+F49+F57+F53</f>
    </nc>
  </rcc>
  <rfmt sheetId="1" sqref="A53:XFD56">
    <dxf>
      <fill>
        <patternFill patternType="solid">
          <bgColor theme="6" tint="0.59999389629810485"/>
        </patternFill>
      </fill>
    </dxf>
  </rfmt>
</revisions>
</file>

<file path=xl/revisions/revisionLog2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73" sId="1" numFmtId="34">
    <oc r="D106">
      <f>209537488.25+7493762.17</f>
    </oc>
    <nc r="D106">
      <v>219731250.41999999</v>
    </nc>
  </rcc>
  <rcc rId="5574" sId="1">
    <oc r="D114">
      <f>3387420+538300+1056919.25</f>
    </oc>
    <nc r="D114">
      <f>5061539.25</f>
    </nc>
  </rcc>
</revisions>
</file>

<file path=xl/revisions/revisionLog2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75" sId="1" numFmtId="34">
    <oc r="D170">
      <v>4953700</v>
    </oc>
    <nc r="D170">
      <v>6011500</v>
    </nc>
  </rcc>
</revisions>
</file>

<file path=xl/revisions/revisionLog2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76" sId="1" numFmtId="34">
    <oc r="D180">
      <v>16823745.359999999</v>
    </oc>
    <nc r="D180">
      <v>17323745.359999999</v>
    </nc>
  </rcc>
</revisions>
</file>

<file path=xl/revisions/revisionLog2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77" sId="1" numFmtId="34">
    <oc r="D218">
      <f>112200-20117.3</f>
    </oc>
    <nc r="D218">
      <v>69795.899999999994</v>
    </nc>
  </rcc>
  <rcc rId="5578" sId="1" numFmtId="34">
    <oc r="D221">
      <f>173500+20117.3</f>
    </oc>
    <nc r="D221">
      <v>215904.1</v>
    </nc>
  </rcc>
</revisions>
</file>

<file path=xl/revisions/revisionLog2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79" sId="1" numFmtId="34">
    <oc r="D230">
      <v>3624076.3</v>
    </oc>
    <nc r="D230">
      <v>3621001.72</v>
    </nc>
  </rcc>
</revisions>
</file>

<file path=xl/revisions/revisionLog2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80" sId="1" numFmtId="34">
    <oc r="D52">
      <v>12906367.300000001</v>
    </oc>
    <nc r="D52">
      <v>10906367.300000001</v>
    </nc>
  </rcc>
</revisions>
</file>

<file path=xl/revisions/revisionLog2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581" sId="1" ref="A83:XFD83" action="insertRow">
    <undo index="0" exp="area" ref3D="1" dr="$A$299:$XFD$307" dn="Z_30E81E54_DD45_4653_9DCD_548F6723F554_.wvu.Rows" sId="1"/>
  </rrc>
  <rrc rId="5582" sId="1" ref="A83:XFD83" action="insertRow">
    <undo index="0" exp="area" ref3D="1" dr="$A$300:$XFD$308" dn="Z_30E81E54_DD45_4653_9DCD_548F6723F554_.wvu.Rows" sId="1"/>
  </rrc>
  <rrc rId="5583" sId="1" ref="A83:XFD83" action="insertRow">
    <undo index="0" exp="area" ref3D="1" dr="$A$301:$XFD$309" dn="Z_30E81E54_DD45_4653_9DCD_548F6723F554_.wvu.Rows" sId="1"/>
  </rrc>
  <rrc rId="5584" sId="1" ref="A83:XFD83" action="insertRow">
    <undo index="0" exp="area" ref3D="1" dr="$A$302:$XFD$310" dn="Z_30E81E54_DD45_4653_9DCD_548F6723F554_.wvu.Rows" sId="1"/>
  </rrc>
  <rcc rId="5585" sId="1">
    <nc r="C84">
      <v>400</v>
    </nc>
  </rcc>
  <rcc rId="5586" sId="1">
    <nc r="C85">
      <v>410</v>
    </nc>
  </rcc>
  <rcc rId="5587" sId="1">
    <nc r="C86">
      <v>414</v>
    </nc>
  </rcc>
  <rcc rId="5588" sId="1" xfDxf="1" dxf="1">
    <nc r="A86" t="inlineStr">
      <is>
        <t>Бюджетные инвестиции в объекты капитального строительства государственной (муниципальной) собственности</t>
      </is>
    </nc>
    <ndxf>
      <font>
        <name val="Times New Roman Cyr"/>
        <scheme val="none"/>
      </font>
      <fill>
        <patternFill patternType="solid">
          <bgColor theme="0"/>
        </patternFill>
      </fill>
      <alignment horizontal="justify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5589" sId="1" xfDxf="1" dxf="1">
    <nc r="A85" t="inlineStr">
      <is>
        <t>Бюджетные инвестиции</t>
      </is>
    </nc>
    <ndxf>
      <font>
        <name val="Times New Roman Cyr"/>
        <scheme val="none"/>
      </font>
      <fill>
        <patternFill patternType="solid">
          <bgColor theme="0"/>
        </patternFill>
      </fill>
      <alignment horizontal="justify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5590" sId="1">
    <nc r="A84" t="inlineStr">
      <is>
        <t>Капитальные вложения в объекты государственной (муниципальной) собственности</t>
      </is>
    </nc>
  </rcc>
  <rcc rId="5591" sId="1">
    <nc r="B86" t="inlineStr">
      <is>
        <t>03 2 00 S0310</t>
      </is>
    </nc>
  </rcc>
  <rcc rId="5592" sId="1">
    <nc r="B85" t="inlineStr">
      <is>
        <t>03 2 00 S0310</t>
      </is>
    </nc>
  </rcc>
  <rcc rId="5593" sId="1">
    <nc r="B84" t="inlineStr">
      <is>
        <t>03 2 00 S0310</t>
      </is>
    </nc>
  </rcc>
  <rcc rId="5594" sId="1">
    <nc r="B83" t="inlineStr">
      <is>
        <t>03 2 00 S0310</t>
      </is>
    </nc>
  </rcc>
  <rcc rId="5595" sId="1" xfDxf="1" dxf="1">
    <nc r="A83" t="inlineStr">
      <is>
        <t>Софинансирование капитальных вложений в объекты муниципальной собственности муниципальных образований Архангельской области</t>
      </is>
    </nc>
    <ndxf>
      <font>
        <name val="Times New Roman Cyr"/>
        <scheme val="none"/>
      </font>
      <fill>
        <patternFill patternType="solid">
          <bgColor theme="0"/>
        </patternFill>
      </fill>
      <alignment horizontal="justify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5596" sId="1">
    <nc r="D85">
      <f>D86</f>
    </nc>
  </rcc>
  <rcc rId="5597" sId="1">
    <nc r="E85">
      <f>E86</f>
    </nc>
  </rcc>
  <rcc rId="5598" sId="1">
    <nc r="F85">
      <f>F86</f>
    </nc>
  </rcc>
  <rcc rId="5599" sId="1">
    <nc r="D83">
      <f>D84</f>
    </nc>
  </rcc>
  <rcc rId="5600" sId="1">
    <nc r="E83">
      <f>E84</f>
    </nc>
  </rcc>
  <rcc rId="5601" sId="1">
    <nc r="F83">
      <f>F84</f>
    </nc>
  </rcc>
  <rcc rId="5602" sId="1">
    <nc r="D84">
      <f>D85</f>
    </nc>
  </rcc>
  <rcc rId="5603" sId="1">
    <nc r="E84">
      <f>E85</f>
    </nc>
  </rcc>
  <rcc rId="5604" sId="1">
    <nc r="F84">
      <f>F85</f>
    </nc>
  </rcc>
  <rcc rId="5605" sId="1">
    <oc r="D70">
      <f>D87+D91+D107+D112+D158+D162+D123+D131+D144+D135+D127+D99+D119+D153+D95+D75+D103+D79+D71</f>
    </oc>
    <nc r="D70">
      <f>D87+D91+D107+D112+D158+D162+D123+D131+D144+D135+D127+D99+D119+D153+D95+D75+D103+D79+D71+D83</f>
    </nc>
  </rcc>
  <rcc rId="5606" sId="1">
    <oc r="E70">
      <f>E87+E91+E107+E112+E158+E162+E123+E131+E144+E135+E127+E99+E119+E153+E95+E75+E103+E79+E71</f>
    </oc>
    <nc r="E70">
      <f>E87+E91+E107+E112+E158+E162+E123+E131+E144+E135+E127+E99+E119+E153+E95+E75+E103+E79+E71+E83</f>
    </nc>
  </rcc>
  <rcc rId="5607" sId="1">
    <oc r="F70">
      <f>F87+F91+F107+F112+F158+F162+F123+F131+F144+F135+F127+F99+F119+F153+F95+F75+F103+F79+F71</f>
    </oc>
    <nc r="F70">
      <f>F87+F91+F107+F112+F158+F162+F123+F131+F144+F135+F127+F99+F119+F153+F95+F75+F103+F79+F71+F83</f>
    </nc>
  </rcc>
  <rcv guid="{D9B90A86-BE39-4FED-8226-084809D277F3}" action="delete"/>
  <rdn rId="0" localSheetId="1" customView="1" name="Z_D9B90A86_BE39_4FED_8226_084809D277F3_.wvu.PrintArea" hidden="1" oldHidden="1">
    <formula>'программы '!$A$1:$F$935</formula>
    <oldFormula>'программы '!$A$1:$F$935</oldFormula>
  </rdn>
  <rdn rId="0" localSheetId="1" customView="1" name="Z_D9B90A86_BE39_4FED_8226_084809D277F3_.wvu.FilterData" hidden="1" oldHidden="1">
    <formula>'программы '!$C$1:$C$943</formula>
    <oldFormula>'программы '!$C$1:$C$943</oldFormula>
  </rdn>
  <rcv guid="{D9B90A86-BE39-4FED-8226-084809D277F3}" action="add"/>
</revisions>
</file>

<file path=xl/revisions/revisionLog2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10" sId="1" numFmtId="34">
    <nc r="D86">
      <v>43249804.079999998</v>
    </nc>
  </rcc>
</revisions>
</file>

<file path=xl/revisions/revisionLog2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11" sId="1" numFmtId="34">
    <oc r="D139">
      <f>84058.34-56700.84</f>
    </oc>
    <nc r="D139">
      <v>0</v>
    </nc>
  </rcc>
  <rcc rId="5612" sId="1" numFmtId="34">
    <oc r="D143">
      <f>26819445.58+6672754.28</f>
    </oc>
    <nc r="D143">
      <v>41559.279999999999</v>
    </nc>
  </rcc>
</revisions>
</file>

<file path=xl/revisions/revisionLog2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13" sId="1" numFmtId="34">
    <oc r="D256">
      <f>6128158.25-40062-2067.32-500000</f>
    </oc>
    <nc r="D256">
      <v>5574310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729" sId="1" ref="A1:XFD1" action="insertRow">
    <undo index="0" exp="area" ref3D="1" dr="$A$230:$XFD$234" dn="Z_30E81E54_DD45_4653_9DCD_548F6723F554_.wvu.Rows" sId="1"/>
  </rrc>
  <rrc rId="2730" sId="1" ref="A1:XFD1" action="insertRow">
    <undo index="0" exp="area" ref3D="1" dr="$A$231:$XFD$235" dn="Z_30E81E54_DD45_4653_9DCD_548F6723F554_.wvu.Rows" sId="1"/>
  </rrc>
  <rrc rId="2731" sId="1" ref="A3:XFD3" action="insertRow">
    <undo index="0" exp="area" ref3D="1" dr="$A$232:$XFD$236" dn="Z_30E81E54_DD45_4653_9DCD_548F6723F554_.wvu.Rows" sId="1"/>
  </rrc>
  <rrc rId="2732" sId="1" ref="A3:XFD3" action="insertRow">
    <undo index="0" exp="area" ref3D="1" dr="$A$233:$XFD$237" dn="Z_30E81E54_DD45_4653_9DCD_548F6723F554_.wvu.Rows" sId="1"/>
  </rrc>
  <rrc rId="2733" sId="1" ref="A1:XFD1" action="deleteRow">
    <undo index="0" exp="area" ref3D="1" dr="$A$234:$XFD$238" dn="Z_30E81E54_DD45_4653_9DCD_548F6723F554_.wvu.Rows" sId="1"/>
    <rfmt sheetId="1" xfDxf="1" sqref="A1:XFD1" start="0" length="0">
      <dxf>
        <font>
          <sz val="11"/>
          <name val="Times New Roman"/>
          <scheme val="none"/>
        </font>
        <alignment vertical="center" readingOrder="0"/>
      </dxf>
    </rfmt>
    <rfmt sheetId="1" sqref="B1" start="0" length="0">
      <dxf>
        <alignment horizontal="center" readingOrder="0"/>
      </dxf>
    </rfmt>
    <rfmt sheetId="1" sqref="C1" start="0" length="0">
      <dxf>
        <alignment horizontal="center" readingOrder="0"/>
      </dxf>
    </rfmt>
    <rfmt sheetId="1" sqref="D1" start="0" length="0">
      <dxf>
        <numFmt numFmtId="164" formatCode="_-* #,##0.00_р_._-;\-* #,##0.00_р_._-;_-* &quot;-&quot;??_р_._-;_-@_-"/>
      </dxf>
    </rfmt>
    <rfmt sheetId="1" sqref="E1" start="0" length="0">
      <dxf>
        <numFmt numFmtId="164" formatCode="_-* #,##0.00_р_._-;\-* #,##0.00_р_._-;_-* &quot;-&quot;??_р_._-;_-@_-"/>
      </dxf>
    </rfmt>
    <rfmt sheetId="1" sqref="F1" start="0" length="0">
      <dxf>
        <numFmt numFmtId="164" formatCode="_-* #,##0.00_р_._-;\-* #,##0.00_р_._-;_-* &quot;-&quot;??_р_._-;_-@_-"/>
      </dxf>
    </rfmt>
  </rrc>
  <rrc rId="2734" sId="1" ref="A1:XFD1" action="deleteRow">
    <undo index="0" exp="area" ref3D="1" dr="$A$233:$XFD$237" dn="Z_30E81E54_DD45_4653_9DCD_548F6723F554_.wvu.Rows" sId="1"/>
    <rfmt sheetId="1" xfDxf="1" sqref="A1:XFD1" start="0" length="0">
      <dxf>
        <font>
          <sz val="11"/>
          <name val="Times New Roman"/>
          <scheme val="none"/>
        </font>
        <alignment vertical="center" readingOrder="0"/>
      </dxf>
    </rfmt>
    <rfmt sheetId="1" sqref="B1" start="0" length="0">
      <dxf>
        <alignment horizontal="center" readingOrder="0"/>
      </dxf>
    </rfmt>
    <rfmt sheetId="1" sqref="C1" start="0" length="0">
      <dxf>
        <alignment horizontal="center" readingOrder="0"/>
      </dxf>
    </rfmt>
    <rfmt sheetId="1" sqref="D1" start="0" length="0">
      <dxf>
        <numFmt numFmtId="164" formatCode="_-* #,##0.00_р_._-;\-* #,##0.00_р_._-;_-* &quot;-&quot;??_р_._-;_-@_-"/>
      </dxf>
    </rfmt>
    <rfmt sheetId="1" sqref="E1" start="0" length="0">
      <dxf>
        <numFmt numFmtId="164" formatCode="_-* #,##0.00_р_._-;\-* #,##0.00_р_._-;_-* &quot;-&quot;??_р_._-;_-@_-"/>
      </dxf>
    </rfmt>
    <rfmt sheetId="1" sqref="F1" start="0" length="0">
      <dxf>
        <numFmt numFmtId="164" formatCode="_-* #,##0.00_р_._-;\-* #,##0.00_р_._-;_-* &quot;-&quot;??_р_._-;_-@_-"/>
      </dxf>
    </rfmt>
  </rrc>
  <rrc rId="2735" sId="1" ref="A1:XFD1" action="deleteRow">
    <undo index="0" exp="area" ref3D="1" dr="$A$232:$XFD$236" dn="Z_30E81E54_DD45_4653_9DCD_548F6723F554_.wvu.Rows" sId="1"/>
    <rfmt sheetId="1" xfDxf="1" sqref="A1:XFD1" start="0" length="0">
      <dxf>
        <font>
          <sz val="11"/>
          <name val="Times New Roman"/>
          <scheme val="none"/>
        </font>
        <alignment vertical="center" readingOrder="0"/>
      </dxf>
    </rfmt>
    <rfmt sheetId="1" sqref="B1" start="0" length="0">
      <dxf>
        <alignment horizontal="center" readingOrder="0"/>
      </dxf>
    </rfmt>
    <rfmt sheetId="1" sqref="C1" start="0" length="0">
      <dxf>
        <alignment horizontal="center" readingOrder="0"/>
      </dxf>
    </rfmt>
    <rfmt sheetId="1" sqref="D1" start="0" length="0">
      <dxf>
        <numFmt numFmtId="164" formatCode="_-* #,##0.00_р_._-;\-* #,##0.00_р_._-;_-* &quot;-&quot;??_р_._-;_-@_-"/>
      </dxf>
    </rfmt>
    <rfmt sheetId="1" sqref="E1" start="0" length="0">
      <dxf>
        <numFmt numFmtId="164" formatCode="_-* #,##0.00_р_._-;\-* #,##0.00_р_._-;_-* &quot;-&quot;??_р_._-;_-@_-"/>
      </dxf>
    </rfmt>
    <rfmt sheetId="1" sqref="F1" start="0" length="0">
      <dxf>
        <numFmt numFmtId="164" formatCode="_-* #,##0.00_р_._-;\-* #,##0.00_р_._-;_-* &quot;-&quot;??_р_._-;_-@_-"/>
      </dxf>
    </rfmt>
  </rrc>
  <rrc rId="2736" sId="1" ref="A1:XFD1" action="deleteRow">
    <undo index="0" exp="area" ref3D="1" dr="$A$231:$XFD$235" dn="Z_30E81E54_DD45_4653_9DCD_548F6723F554_.wvu.Rows" sId="1"/>
    <rfmt sheetId="1" xfDxf="1" sqref="A1:XFD1" start="0" length="0">
      <dxf>
        <font>
          <sz val="11"/>
          <name val="Times New Roman"/>
          <scheme val="none"/>
        </font>
        <alignment vertical="center" readingOrder="0"/>
      </dxf>
    </rfmt>
    <rfmt sheetId="1" sqref="B1" start="0" length="0">
      <dxf>
        <alignment horizontal="center" readingOrder="0"/>
      </dxf>
    </rfmt>
    <rfmt sheetId="1" sqref="C1" start="0" length="0">
      <dxf>
        <alignment horizontal="center" readingOrder="0"/>
      </dxf>
    </rfmt>
    <rfmt sheetId="1" sqref="D1" start="0" length="0">
      <dxf>
        <numFmt numFmtId="164" formatCode="_-* #,##0.00_р_._-;\-* #,##0.00_р_._-;_-* &quot;-&quot;??_р_._-;_-@_-"/>
      </dxf>
    </rfmt>
    <rfmt sheetId="1" sqref="E1" start="0" length="0">
      <dxf>
        <numFmt numFmtId="164" formatCode="_-* #,##0.00_р_._-;\-* #,##0.00_р_._-;_-* &quot;-&quot;??_р_._-;_-@_-"/>
      </dxf>
    </rfmt>
    <rfmt sheetId="1" sqref="F1" start="0" length="0">
      <dxf>
        <numFmt numFmtId="164" formatCode="_-* #,##0.00_р_._-;\-* #,##0.00_р_._-;_-* &quot;-&quot;??_р_._-;_-@_-"/>
      </dxf>
    </rfmt>
  </rrc>
  <rrc rId="2737" sId="1" ref="A2:XFD2" action="insertRow">
    <undo index="0" exp="area" ref3D="1" dr="$A$230:$XFD$234" dn="Z_30E81E54_DD45_4653_9DCD_548F6723F554_.wvu.Rows" sId="1"/>
  </rrc>
  <rrc rId="2738" sId="1" ref="A2:XFD2" action="insertRow">
    <undo index="0" exp="area" ref3D="1" dr="$A$231:$XFD$235" dn="Z_30E81E54_DD45_4653_9DCD_548F6723F554_.wvu.Rows" sId="1"/>
  </rrc>
  <rcc rId="2739" sId="1" xfDxf="1" s="1" dxf="1">
    <nc r="F3" t="inlineStr">
      <is>
        <t xml:space="preserve"> Приложение № 5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ndxf>
  </rcc>
  <rcc rId="2740" sId="1">
    <oc r="A1" t="inlineStr">
      <is>
        <t xml:space="preserve"> Приложение № 5</t>
      </is>
    </oc>
    <nc r="A1" t="inlineStr">
      <is>
        <t>Приложение № 4 к таблице поправок</t>
      </is>
    </nc>
  </rcc>
  <rcv guid="{30E81E54-DD45-4653-9DCD-548F6723F554}" action="delete"/>
  <rdn rId="0" localSheetId="1" customView="1" name="Z_30E81E54_DD45_4653_9DCD_548F6723F554_.wvu.PrintArea" hidden="1" oldHidden="1">
    <formula>'программы '!$A$1:$F$750</formula>
    <oldFormula>'программы '!$A$1:$F$750</oldFormula>
  </rdn>
  <rdn rId="0" localSheetId="1" customView="1" name="Z_30E81E54_DD45_4653_9DCD_548F6723F554_.wvu.Rows" hidden="1" oldHidden="1">
    <formula>'программы '!$232:$236</formula>
    <oldFormula>'программы '!$232:$236</oldFormula>
  </rdn>
  <rdn rId="0" localSheetId="1" customView="1" name="Z_30E81E54_DD45_4653_9DCD_548F6723F554_.wvu.FilterData" hidden="1" oldHidden="1">
    <formula>'программы '!$A$1:$A$763</formula>
    <oldFormula>'программы '!$A$1:$A$763</oldFormula>
  </rdn>
  <rcv guid="{30E81E54-DD45-4653-9DCD-548F6723F554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096" sId="1" ref="A83:XFD83" action="insertRow">
    <undo index="0" exp="area" ref3D="1" dr="$A$268:$XFD$272" dn="Z_D9B90A86_BE39_4FED_8226_084809D277F3_.wvu.Rows" sId="1"/>
    <undo index="0" exp="area" ref3D="1" dr="$A$268:$XFD$272" dn="Z_30E81E54_DD45_4653_9DCD_548F6723F554_.wvu.Rows" sId="1"/>
  </rrc>
  <rrc rId="3097" sId="1" ref="A83:XFD83" action="insertRow">
    <undo index="0" exp="area" ref3D="1" dr="$A$269:$XFD$273" dn="Z_D9B90A86_BE39_4FED_8226_084809D277F3_.wvu.Rows" sId="1"/>
    <undo index="0" exp="area" ref3D="1" dr="$A$269:$XFD$273" dn="Z_30E81E54_DD45_4653_9DCD_548F6723F554_.wvu.Rows" sId="1"/>
  </rrc>
  <rrc rId="3098" sId="1" ref="A83:XFD83" action="insertRow">
    <undo index="0" exp="area" ref3D="1" dr="$A$270:$XFD$274" dn="Z_D9B90A86_BE39_4FED_8226_084809D277F3_.wvu.Rows" sId="1"/>
    <undo index="0" exp="area" ref3D="1" dr="$A$270:$XFD$274" dn="Z_30E81E54_DD45_4653_9DCD_548F6723F554_.wvu.Rows" sId="1"/>
  </rrc>
  <rrc rId="3099" sId="1" ref="A83:XFD83" action="insertRow">
    <undo index="0" exp="area" ref3D="1" dr="$A$271:$XFD$275" dn="Z_D9B90A86_BE39_4FED_8226_084809D277F3_.wvu.Rows" sId="1"/>
    <undo index="0" exp="area" ref3D="1" dr="$A$271:$XFD$275" dn="Z_30E81E54_DD45_4653_9DCD_548F6723F554_.wvu.Rows" sId="1"/>
  </rrc>
  <rcc rId="3100" sId="1" xfDxf="1" dxf="1">
    <nc r="B83" t="inlineStr">
      <is>
        <t>03 2 00 Э4660</t>
      </is>
    </nc>
    <ndxf>
      <font>
        <name val="Times New Roman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01" sId="1" xfDxf="1" dxf="1">
    <nc r="B84" t="inlineStr">
      <is>
        <t>03 2 00 Э4660</t>
      </is>
    </nc>
    <ndxf>
      <font>
        <name val="Times New Roman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02" sId="1" xfDxf="1" dxf="1">
    <nc r="B85" t="inlineStr">
      <is>
        <t>03 2 00 Э4660</t>
      </is>
    </nc>
    <ndxf>
      <font>
        <name val="Times New Roman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03" sId="1" xfDxf="1" dxf="1">
    <nc r="B86" t="inlineStr">
      <is>
        <t>03 2 00 Э4660</t>
      </is>
    </nc>
    <ndxf>
      <font>
        <name val="Times New Roman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04" sId="1" numFmtId="34">
    <nc r="C86">
      <v>612</v>
    </nc>
  </rcc>
  <rcc rId="3105" sId="1" numFmtId="34">
    <nc r="C85">
      <v>610</v>
    </nc>
  </rcc>
  <rcc rId="3106" sId="1" numFmtId="34">
    <nc r="C84">
      <v>600</v>
    </nc>
  </rcc>
  <rcc rId="3107" sId="1" xfDxf="1" dxf="1">
    <nc r="A83" t="inlineStr">
      <is>
        <t>Обеспечение мероприятий по организации предоставления дополнительных мер социальной поддержки семьям граждан принимающих (принимавших) участие в специальной военной операции,в виде бесплатного горячего питания обучающихся по образовательным программам основного общего и среднего общего образования в муниципальных общеобразовательных организациях, бесплатного посещения обучающимися занятий по дополнительным общеобразовательным программам, реализуемым на платной основе муниципальными образовательными организациями, а также бесплатного присмотра за детьми, посещающими муниципальные организации, реализующие программы дошкольного образования, или группы продленного дня в общеобразовательных организациях</t>
      </is>
    </nc>
    <ndxf>
      <font>
        <name val="Times New Roman"/>
        <scheme val="none"/>
      </font>
      <numFmt numFmtId="30" formatCode="@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08" sId="1" xfDxf="1" dxf="1">
    <nc r="A84" t="inlineStr">
      <is>
        <t>Предоставление субсидий бюджетным, автономным учреждениям и иным некоммерческим организациям</t>
      </is>
    </nc>
    <ndxf>
      <font>
        <name val="Times New Roman"/>
        <scheme val="none"/>
      </font>
      <numFmt numFmtId="30" formatCode="@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09" sId="1" xfDxf="1" dxf="1">
    <nc r="A85" t="inlineStr">
      <is>
        <t>Субсидии бюджетным учреждения</t>
      </is>
    </nc>
    <ndxf>
      <font>
        <name val="Times New Roman"/>
        <scheme val="none"/>
      </font>
      <numFmt numFmtId="30" formatCode="@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10" sId="1" xfDxf="1" dxf="1">
    <nc r="A86" t="inlineStr">
      <is>
        <t>Субсидии бюджетным учреждениям на  иные цели</t>
      </is>
    </nc>
    <ndxf>
      <font>
        <name val="Times New Roman"/>
        <scheme val="none"/>
      </font>
      <numFmt numFmtId="30" formatCode="@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11" sId="1">
    <nc r="D85">
      <f>D86</f>
    </nc>
  </rcc>
  <rcc rId="3112" sId="1">
    <nc r="E85">
      <f>E86</f>
    </nc>
  </rcc>
  <rcc rId="3113" sId="1">
    <nc r="F85">
      <f>F86</f>
    </nc>
  </rcc>
  <rcc rId="3114" sId="1">
    <nc r="D84">
      <f>D85</f>
    </nc>
  </rcc>
  <rcc rId="3115" sId="1">
    <nc r="E84">
      <f>E85</f>
    </nc>
  </rcc>
  <rcc rId="3116" sId="1">
    <nc r="F84">
      <f>F85</f>
    </nc>
  </rcc>
  <rcc rId="3117" sId="1">
    <nc r="D83">
      <f>D84</f>
    </nc>
  </rcc>
  <rcc rId="3118" sId="1">
    <nc r="E83">
      <f>E84</f>
    </nc>
  </rcc>
  <rcc rId="3119" sId="1">
    <nc r="F83">
      <f>F84</f>
    </nc>
  </rcc>
  <rcc rId="3120" sId="1">
    <oc r="D70">
      <f>D75+D79+D91+D96+D107+D146+D150+D154+D71+D111+D119+D132+D123+D115+D87+D103+D141</f>
    </oc>
    <nc r="D70">
      <f>D75+D79+D91+D96+D107+D146+D150+D154+D71+D111+D119+D132+D123+D115+D87+D103+D141+D83</f>
    </nc>
  </rcc>
  <rcc rId="3121" sId="1">
    <oc r="E70">
      <f>E75+E79+E91+E96+E107+E146+E150+E154+E71+E111+E119+E132+E123+E115+E87+E103+E141</f>
    </oc>
    <nc r="E70">
      <f>E75+E79+E91+E96+E107+E146+E150+E154+E71+E111+E119+E132+E123+E115+E87+E103+E141+E83</f>
    </nc>
  </rcc>
  <rcc rId="3122" sId="1">
    <oc r="F70">
      <f>F75+F79+F91+F96+F107+F146+F150+F154+F71+F111+F119+F132+F123+F115+F87+F103+F141</f>
    </oc>
    <nc r="F70">
      <f>F75+F79+F91+F96+F107+F146+F150+F154+F71+F111+F119+F132+F123+F115+F87+F103+F141+F83</f>
    </nc>
  </rcc>
  <rcv guid="{D9B90A86-BE39-4FED-8226-084809D277F3}" action="delete"/>
  <rdn rId="0" localSheetId="1" customView="1" name="Z_D9B90A86_BE39_4FED_8226_084809D277F3_.wvu.PrintArea" hidden="1" oldHidden="1">
    <formula>'программы '!$A$1:$F$794</formula>
    <oldFormula>'программы '!$A$1:$F$794</oldFormula>
  </rdn>
  <rdn rId="0" localSheetId="1" customView="1" name="Z_D9B90A86_BE39_4FED_8226_084809D277F3_.wvu.Rows" hidden="1" oldHidden="1">
    <formula>'программы '!$272:$276</formula>
    <oldFormula>'программы '!$272:$276</oldFormula>
  </rdn>
  <rdn rId="0" localSheetId="1" customView="1" name="Z_D9B90A86_BE39_4FED_8226_084809D277F3_.wvu.FilterData" hidden="1" oldHidden="1">
    <formula>'программы '!$A$1:$A$807</formula>
    <oldFormula>'программы '!$A$1:$A$807</oldFormula>
  </rdn>
  <rcv guid="{D9B90A86-BE39-4FED-8226-084809D277F3}" action="add"/>
</revisions>
</file>

<file path=xl/revisions/revisionLog3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14" sId="1">
    <oc r="D245">
      <f>10710000+2000000-2191899.42+2600000</f>
    </oc>
    <nc r="D245">
      <f>10710000+2000000-2191899.42+2600000-2000000</f>
    </nc>
  </rcc>
  <rcc rId="5615" sId="1" numFmtId="34">
    <oc r="D248">
      <f>10000000-10000000</f>
    </oc>
    <nc r="D248">
      <v>2000000</v>
    </nc>
  </rcc>
  <rcc rId="5616" sId="1" numFmtId="34">
    <oc r="D276">
      <f>1824193.22+955150</f>
    </oc>
    <nc r="D276">
      <v>3404993.22</v>
    </nc>
  </rcc>
</revisions>
</file>

<file path=xl/revisions/revisionLog3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17" sId="1">
    <oc r="D320">
      <f>626262+540263.29-648+384000</f>
    </oc>
    <nc r="D320">
      <f>626262+540263.29-648+384000-40000</f>
    </nc>
  </rcc>
  <rcc rId="5618" sId="1" numFmtId="34">
    <oc r="D321">
      <f>315174.71+16000</f>
    </oc>
    <nc r="D321">
      <v>371174.71</v>
    </nc>
  </rcc>
</revisions>
</file>

<file path=xl/revisions/revisionLog3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619" sId="1" ref="A377:XFD377" action="insertRow"/>
  <rcc rId="5620" sId="1">
    <oc r="D376">
      <f>D378</f>
    </oc>
    <nc r="D376">
      <f>D378+D377</f>
    </nc>
  </rcc>
  <rcc rId="5621" sId="1">
    <oc r="E376">
      <f>E378</f>
    </oc>
    <nc r="E376">
      <f>E378+E377</f>
    </nc>
  </rcc>
  <rcc rId="5622" sId="1">
    <oc r="F376">
      <f>F378</f>
    </oc>
    <nc r="F376">
      <f>F378+F377</f>
    </nc>
  </rcc>
  <rcc rId="5623" sId="1" quotePrefix="1">
    <nc r="C377" t="inlineStr">
      <is>
        <t>243</t>
      </is>
    </nc>
  </rcc>
  <rcc rId="5624" sId="1" xfDxf="1" dxf="1">
    <nc r="B377" t="inlineStr">
      <is>
        <t>08 0 00 S9170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5625" sId="1" odxf="1" dxf="1">
    <nc r="A377" t="inlineStr">
      <is>
        <t>Закупка товаров, работ, услуг в целях капитального
ремонта государственного (муниципального) имущества</t>
      </is>
    </nc>
    <odxf>
      <alignment wrapText="0" readingOrder="0"/>
    </odxf>
    <ndxf>
      <alignment wrapText="1" readingOrder="0"/>
    </ndxf>
  </rcc>
  <rcc rId="5626" sId="1" numFmtId="34">
    <nc r="D377">
      <v>2195942.63</v>
    </nc>
  </rcc>
  <rcc rId="5627" sId="1" numFmtId="34">
    <oc r="D378">
      <f>3591627.58+3595.22</f>
    </oc>
    <nc r="D378">
      <v>1399280.17</v>
    </nc>
  </rcc>
</revisions>
</file>

<file path=xl/revisions/revisionLog3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28" sId="1" numFmtId="34">
    <oc r="D383">
      <f>1942940.95-3595.22-653107.36</f>
    </oc>
    <nc r="D383">
      <v>1071607.95</v>
    </nc>
  </rcc>
</revisions>
</file>

<file path=xl/revisions/revisionLog3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29" sId="1" numFmtId="34">
    <oc r="D419">
      <v>24376545.23</v>
    </oc>
    <nc r="D419">
      <v>24236545.23</v>
    </nc>
  </rcc>
  <rcc rId="5630" sId="1" numFmtId="34">
    <oc r="D420">
      <v>300755.99</v>
    </oc>
    <nc r="D420">
      <v>320755.99</v>
    </nc>
  </rcc>
  <rcc rId="5631" sId="1" numFmtId="34">
    <oc r="D441">
      <f>57584208.14+2000000</f>
    </oc>
    <nc r="D441">
      <v>59474208.140000001</v>
    </nc>
  </rcc>
  <rcc rId="5632" sId="1" numFmtId="34">
    <oc r="D442">
      <f>345925.05+1455320</f>
    </oc>
    <nc r="D442">
      <v>1822584.54</v>
    </nc>
  </rcc>
</revisions>
</file>

<file path=xl/revisions/revisionLog3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33" sId="1" numFmtId="34">
    <oc r="D466">
      <v>5252591.24</v>
    </oc>
    <nc r="D466">
      <v>5211251.75</v>
    </nc>
  </rcc>
</revisions>
</file>

<file path=xl/revisions/revisionLog3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34" sId="1" numFmtId="34">
    <oc r="D511">
      <f>80000-2320.4</f>
    </oc>
    <nc r="D511">
      <v>76327.100000000006</v>
    </nc>
  </rcc>
  <rcc rId="5635" sId="1" numFmtId="34">
    <oc r="D515">
      <v>224695.4</v>
    </oc>
    <nc r="D515">
      <v>226047.9</v>
    </nc>
  </rcc>
</revisions>
</file>

<file path=xl/revisions/revisionLog3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36" sId="1">
    <oc r="D526">
      <f>55099.99+1375048.64-727434.02</f>
    </oc>
    <nc r="D526">
      <f>55099.99+1375048.64-727434.02+587326.76</f>
    </nc>
  </rcc>
</revisions>
</file>

<file path=xl/revisions/revisionLog3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37" sId="1" numFmtId="34">
    <oc r="D544">
      <v>750000</v>
    </oc>
    <nc r="D544">
      <v>0</v>
    </nc>
  </rcc>
</revisions>
</file>

<file path=xl/revisions/revisionLog3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38" sId="1" numFmtId="34">
    <oc r="D566">
      <v>7287280</v>
    </oc>
    <nc r="D566">
      <v>1818880</v>
    </nc>
  </rcc>
  <rcc rId="5639" sId="1" numFmtId="34">
    <oc r="D573">
      <v>141284</v>
    </oc>
    <nc r="D573">
      <v>35264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83:XFD86">
    <dxf>
      <fill>
        <patternFill patternType="solid">
          <bgColor theme="6" tint="0.59999389629810485"/>
        </patternFill>
      </fill>
    </dxf>
  </rfmt>
  <rrc rId="3126" sId="1" ref="A719:XFD719" action="insertRow"/>
  <rrc rId="3127" sId="1" ref="A719:XFD719" action="insertRow"/>
  <rrc rId="3128" sId="1" ref="A719:XFD719" action="insertRow"/>
  <rrc rId="3129" sId="1" ref="A719:XFD719" action="insertRow"/>
  <rrc rId="3130" sId="1" ref="A720:XFD720" action="insertRow"/>
  <rfmt sheetId="1" sqref="A719:A723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cc rId="3131" sId="1" xfDxf="1" dxf="1">
    <nc r="B719" t="inlineStr">
      <is>
        <t>60 0 00 00000</t>
      </is>
    </nc>
    <ndxf>
      <font>
        <name val="Times New Roman"/>
        <scheme val="none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3132" sId="1" xfDxf="1" dxf="1">
    <nc r="B720" t="inlineStr">
      <is>
        <t>60 0 00 80020</t>
      </is>
    </nc>
    <ndxf>
      <font>
        <name val="Times New Roman"/>
        <scheme val="none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3133" sId="1" xfDxf="1" dxf="1">
    <nc r="B721" t="inlineStr">
      <is>
        <t>60 0 00 80020</t>
      </is>
    </nc>
    <ndxf>
      <font>
        <name val="Times New Roman"/>
        <scheme val="none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3134" sId="1" xfDxf="1" dxf="1">
    <nc r="B722" t="inlineStr">
      <is>
        <t>60 0 00 80020</t>
      </is>
    </nc>
    <ndxf>
      <font>
        <name val="Times New Roman"/>
        <scheme val="none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3135" sId="1" xfDxf="1" dxf="1">
    <nc r="B723" t="inlineStr">
      <is>
        <t>60 0 00 80020</t>
      </is>
    </nc>
    <ndxf>
      <font>
        <name val="Times New Roman"/>
        <scheme val="none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3136" sId="1">
    <nc r="C723" t="inlineStr">
      <is>
        <t>831</t>
      </is>
    </nc>
  </rcc>
  <rcc rId="3137" sId="1">
    <nc r="C722" t="inlineStr">
      <is>
        <t>830</t>
      </is>
    </nc>
  </rcc>
  <rcc rId="3138" sId="1">
    <nc r="C721" t="inlineStr">
      <is>
        <t>800</t>
      </is>
    </nc>
  </rcc>
  <rcc rId="3139" sId="1" xfDxf="1" dxf="1">
    <nc r="A719" t="inlineStr">
      <is>
        <t>Расходы на исполнение судебных актов по обращению взыскания на средства  бюджета муниципального образования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0" sId="1" xfDxf="1" dxf="1">
    <nc r="A720" t="inlineStr">
      <is>
        <t>Прочие выплаты по обязательствам муниципального образования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1" sId="1" xfDxf="1" dxf="1">
    <nc r="A721" t="inlineStr">
      <is>
        <t>Иные бюджетные ассигнования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2" sId="1" xfDxf="1" dxf="1">
    <nc r="A722" t="inlineStr">
      <is>
        <t>Исполнение судебных актов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143" sId="1" xfDxf="1" dxf="1">
    <nc r="A723" t="inlineStr">
      <is>
    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719:F719" start="0" length="2147483647">
    <dxf>
      <font>
        <b/>
      </font>
    </dxf>
  </rfmt>
  <rfmt sheetId="1" sqref="A719:F719" start="0" length="2147483647">
    <dxf>
      <font>
        <i/>
      </font>
    </dxf>
  </rfmt>
  <rfmt sheetId="1" sqref="A719:XFD723">
    <dxf>
      <fill>
        <patternFill patternType="solid">
          <bgColor theme="6" tint="0.59999389629810485"/>
        </patternFill>
      </fill>
    </dxf>
  </rfmt>
  <rcc rId="3144" sId="1">
    <nc r="D722">
      <f>D723</f>
    </nc>
  </rcc>
  <rcc rId="3145" sId="1">
    <nc r="E722">
      <f>E723</f>
    </nc>
  </rcc>
  <rcc rId="3146" sId="1">
    <nc r="F722">
      <f>F723</f>
    </nc>
  </rcc>
  <rcc rId="3147" sId="1">
    <nc r="D721">
      <f>D722</f>
    </nc>
  </rcc>
  <rcc rId="3148" sId="1">
    <nc r="E721">
      <f>E722</f>
    </nc>
  </rcc>
  <rcc rId="3149" sId="1">
    <nc r="F721">
      <f>F722</f>
    </nc>
  </rcc>
  <rcc rId="3150" sId="1">
    <nc r="D720">
      <f>D721</f>
    </nc>
  </rcc>
  <rcc rId="3151" sId="1">
    <nc r="E720">
      <f>E721</f>
    </nc>
  </rcc>
  <rcc rId="3152" sId="1">
    <nc r="F720">
      <f>F721</f>
    </nc>
  </rcc>
  <rcc rId="3153" sId="1">
    <nc r="D719">
      <f>D720</f>
    </nc>
  </rcc>
  <rcc rId="3154" sId="1">
    <nc r="E719">
      <f>E720</f>
    </nc>
  </rcc>
  <rcc rId="3155" sId="1">
    <nc r="F719">
      <f>F720</f>
    </nc>
  </rcc>
</revisions>
</file>

<file path=xl/revisions/revisionLog3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40" sId="1" numFmtId="34">
    <oc r="D609">
      <f>16244589.95-580581.43-0.89</f>
    </oc>
    <nc r="D609">
      <v>10683728.85</v>
    </nc>
  </rcc>
</revisions>
</file>

<file path=xl/revisions/revisionLog3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41" sId="1" numFmtId="34">
    <oc r="D614">
      <f>1235800+5063.14</f>
    </oc>
    <nc r="D614">
      <v>1160863.1399999999</v>
    </nc>
  </rcc>
</revisions>
</file>

<file path=xl/revisions/revisionLog3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42" sId="1">
    <oc r="D706">
      <f>8457235.47+452891.15+307495-5000-50000-94296</f>
    </oc>
    <nc r="D706">
      <f>8457235.47+452891.15+307495-5000-50000-94296-2300.4-51137.52</f>
    </nc>
  </rcc>
</revisions>
</file>

<file path=xl/revisions/revisionLog3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43" sId="1" numFmtId="34">
    <oc r="D720">
      <f>97856.79+270000-20000</f>
    </oc>
    <nc r="D720">
      <v>707856.79</v>
    </nc>
  </rcc>
  <rcc rId="5644" sId="1" numFmtId="34">
    <oc r="D725">
      <f>460000+140000+50000+20000</f>
    </oc>
    <nc r="D725">
      <v>810000</v>
    </nc>
  </rcc>
  <rcc rId="5645" sId="1" numFmtId="34">
    <oc r="D717">
      <f>6126197.37-5960960.09</f>
    </oc>
    <nc r="D717">
      <v>164710.78</v>
    </nc>
  </rcc>
</revisions>
</file>

<file path=xl/revisions/revisionLog3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46" sId="1" numFmtId="34">
    <oc r="D730">
      <v>2108524.94</v>
    </oc>
    <nc r="D730">
      <v>2177911.63</v>
    </nc>
  </rcc>
  <rcc rId="5647" sId="1" numFmtId="34">
    <oc r="D731">
      <v>58640</v>
    </oc>
    <nc r="D731">
      <v>5770</v>
    </nc>
  </rcc>
  <rcc rId="5648" sId="1" numFmtId="34">
    <oc r="D732">
      <v>636810.35</v>
    </oc>
    <nc r="D732">
      <v>656554.51</v>
    </nc>
  </rcc>
  <rcc rId="5649" sId="1" numFmtId="34">
    <oc r="D735">
      <v>90361.86</v>
    </oc>
    <nc r="D735">
      <v>54101.01</v>
    </nc>
  </rcc>
</revisions>
</file>

<file path=xl/revisions/revisionLog3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50" sId="1" numFmtId="34">
    <oc r="D740">
      <f>440000-39546.6-100000-46527.67</f>
    </oc>
    <nc r="D740">
      <v>198925.73</v>
    </nc>
  </rcc>
  <rcc rId="5651" sId="1" numFmtId="34">
    <oc r="D745">
      <v>2414785</v>
    </oc>
    <nc r="D745">
      <v>2664785</v>
    </nc>
  </rcc>
</revisions>
</file>

<file path=xl/revisions/revisionLog3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52" sId="1">
    <oc r="D779">
      <f>2874890.87-97542.24-141627.76+417670-50000</f>
    </oc>
    <nc r="D779">
      <f>2874890.87-97542.24-141627.76+417670-50000-100000+135000</f>
    </nc>
  </rcc>
  <rcc rId="5653" sId="1" numFmtId="34">
    <oc r="D828">
      <f>383912.82+25000</f>
    </oc>
    <nc r="D828">
      <v>870348.82</v>
    </nc>
  </rcc>
  <rcc rId="5654" sId="1" numFmtId="34">
    <oc r="D829">
      <f>180000+100000+50000+146527.67+100000+100000</f>
    </oc>
    <nc r="D829">
      <v>902748.95</v>
    </nc>
  </rcc>
</revisions>
</file>

<file path=xl/revisions/revisionLog3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55" sId="1" numFmtId="34">
    <oc r="D828">
      <v>870348.82</v>
    </oc>
    <nc r="D828">
      <f>870348.82+228194</f>
    </nc>
  </rcc>
</revisions>
</file>

<file path=xl/revisions/revisionLog3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56" sId="1" numFmtId="34">
    <oc r="D842">
      <f>7636954.13+3681417.62-33955.12</f>
    </oc>
    <nc r="D842">
      <v>19359110.43</v>
    </nc>
  </rcc>
  <rcc rId="5657" sId="1" numFmtId="34">
    <oc r="D839">
      <v>33955.120000000003</v>
    </oc>
    <nc r="D839">
      <v>58252.09</v>
    </nc>
  </rcc>
</revisions>
</file>

<file path=xl/revisions/revisionLog3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58" sId="1" numFmtId="34">
    <oc r="D876">
      <v>446399.17</v>
    </oc>
    <nc r="D876">
      <v>349000</v>
    </nc>
  </rcc>
  <rcc rId="5659" sId="1" numFmtId="34">
    <oc r="D877">
      <f>6215375.53-446399.17+5000+45000</f>
    </oc>
    <nc r="D877">
      <v>5887375.5300000003</v>
    </nc>
  </rcc>
  <rcc rId="5660" sId="1" numFmtId="34">
    <oc r="D878">
      <f>19945958.7-13819049.83</f>
    </oc>
    <nc r="D878">
      <v>5426908.8700000001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56" sId="1">
    <oc r="D554">
      <f>D555+D560+D578+D595+D641+D647+D657+D669+D674+D724+D758+D771+D781+D789</f>
    </oc>
    <nc r="D554">
      <f>D555+D560+D578+D595+D641+D647+D657+D669+D674+D724+D758+D771+D781+D789+D719</f>
    </nc>
  </rcc>
  <rcc rId="3157" sId="1">
    <oc r="E554">
      <f>E555+E560+E578+E595+E641+E647+E657+E669+E674+E724+E758+E771+E781+E789</f>
    </oc>
    <nc r="E554">
      <f>E555+E560+E578+E595+E641+E647+E657+E669+E674+E724+E758+E771+E781+E789+E719</f>
    </nc>
  </rcc>
  <rcc rId="3158" sId="1">
    <oc r="F554">
      <f>F555+F560+F578+F595+F641+F647+F657+F669+F674+F724+F758+F771+F781+F789</f>
    </oc>
    <nc r="F554">
      <f>F555+F560+F578+F595+F641+F647+F657+F669+F674+F724+F758+F771+F781+F789+F719</f>
    </nc>
  </rcc>
</revisions>
</file>

<file path=xl/revisions/revisionLog3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61" sId="1" numFmtId="34">
    <oc r="D897">
      <f>100000-56143.1</f>
    </oc>
    <nc r="D897">
      <v>62856.9</v>
    </nc>
  </rcc>
  <rcc rId="5662" sId="1" numFmtId="34">
    <oc r="D917">
      <v>26567.389999998733</v>
    </oc>
    <nc r="D917">
      <v>0</v>
    </nc>
  </rcc>
  <rcc rId="5663" sId="1" numFmtId="34">
    <oc r="D927">
      <v>1398.2799999999115</v>
    </oc>
    <nc r="D927">
      <v>0</v>
    </nc>
  </rcc>
  <rcc rId="5664" sId="1" numFmtId="34">
    <oc r="D903">
      <v>2700000</v>
    </oc>
    <nc r="D903">
      <f>2700000-0.9</f>
    </nc>
  </rcc>
  <rcc rId="5665" sId="1">
    <oc r="D911">
      <f>2850000-2700000</f>
    </oc>
    <nc r="D911">
      <f>2850000-2700000-0.05</f>
    </nc>
  </rcc>
  <rcc rId="5666" sId="1" numFmtId="34">
    <oc r="D921">
      <v>150000</v>
    </oc>
    <nc r="D921">
      <f>150000-0.05</f>
    </nc>
  </rcc>
  <rcc rId="5667" sId="1">
    <oc r="D904">
      <f>1147500+5850000</f>
    </oc>
    <nc r="D904">
      <f>1147500+5850000-1977296.92-840626.92</f>
    </nc>
  </rcc>
  <rcc rId="5668" sId="1">
    <oc r="D912">
      <f>11409500-2850000-5850000-1147500+0.89</f>
    </oc>
    <nc r="D912">
      <f>11409500-2850000-5850000-1147500+0.89-1173250+109849.77-46701.48</f>
    </nc>
  </rcc>
  <rcc rId="5669" sId="1">
    <oc r="D922">
      <f>600500-150000</f>
    </oc>
    <nc r="D922">
      <f>600500-150000-61750+109849.87-46701.48</f>
    </nc>
  </rcc>
</revisions>
</file>

<file path=xl/revisions/revisionLog3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70" sId="1">
    <oc r="D904">
      <f>1147500+5850000-1977296.92-840626.92</f>
    </oc>
    <nc r="D904">
      <f>8134170</f>
    </nc>
  </rcc>
</revisions>
</file>

<file path=xl/revisions/revisionLog3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71" sId="1" numFmtId="34">
    <oc r="D922">
      <f>600500-150000-61750+109849.87-46701.48</f>
    </oc>
    <nc r="D922">
      <v>375524.34</v>
    </nc>
  </rcc>
</revisions>
</file>

<file path=xl/revisions/revisionLog3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72" sId="1" numFmtId="34">
    <oc r="D829">
      <v>902748.95</v>
    </oc>
    <nc r="D829">
      <v>1249276.6200000001</v>
    </nc>
  </rcc>
  <rcc rId="5673" sId="1" numFmtId="34">
    <oc r="D877">
      <v>5887375.5300000003</v>
    </oc>
    <nc r="D877">
      <f>5887375.53+10000</f>
    </nc>
  </rcc>
</revisions>
</file>

<file path=xl/revisions/revisionLog3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74" sId="1" numFmtId="34">
    <oc r="D780">
      <v>2120945</v>
    </oc>
    <nc r="D780">
      <f>2120945+250000</f>
    </nc>
  </rcc>
  <rcc rId="5675" sId="1" numFmtId="34">
    <oc r="D745">
      <v>2664785</v>
    </oc>
    <nc r="D745">
      <f>2664785-250000</f>
    </nc>
  </rcc>
  <rcv guid="{D9B90A86-BE39-4FED-8226-084809D277F3}" action="delete"/>
  <rdn rId="0" localSheetId="1" customView="1" name="Z_D9B90A86_BE39_4FED_8226_084809D277F3_.wvu.PrintArea" hidden="1" oldHidden="1">
    <formula>'программы '!$A$1:$F$936</formula>
    <oldFormula>'программы '!$A$1:$F$936</oldFormula>
  </rdn>
  <rdn rId="0" localSheetId="1" customView="1" name="Z_D9B90A86_BE39_4FED_8226_084809D277F3_.wvu.FilterData" hidden="1" oldHidden="1">
    <formula>'программы '!$C$1:$C$944</formula>
    <oldFormula>'программы '!$C$1:$C$944</oldFormula>
  </rdn>
  <rcv guid="{D9B90A86-BE39-4FED-8226-084809D277F3}" action="add"/>
</revisions>
</file>

<file path=xl/revisions/revisionLog3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78" sId="1">
    <oc r="D702">
      <f>1196994.24+376200+144590.04-4000+36814.6-100000</f>
    </oc>
    <nc r="D702">
      <f>1196994.24+376200+144590.04-4000+36814.6-100000-146086.29</f>
    </nc>
  </rcc>
  <rcc rId="5679" sId="1">
    <oc r="D877">
      <f>5887375.53+10000</f>
    </oc>
    <nc r="D877">
      <f>5887375.53+10000-100000</f>
    </nc>
  </rcc>
  <rcc rId="5680" sId="1" numFmtId="34">
    <oc r="D878">
      <v>5426908.8700000001</v>
    </oc>
    <nc r="D878">
      <f>5426908.87-90000</f>
    </nc>
  </rcc>
  <rcc rId="5681" sId="1" numFmtId="34">
    <oc r="D260">
      <v>1556305.4</v>
    </oc>
    <nc r="D260">
      <f>1556305.4-42336.78</f>
    </nc>
  </rcc>
  <rcc rId="5682" sId="1">
    <oc r="D706">
      <f>8457235.47+452891.15+307495-5000-50000-94296-2300.4-51137.52</f>
    </oc>
    <nc r="D706">
      <f>8457235.47+452891.15+307495-5000-50000-94296-2300.4-51137.52-512.48</f>
    </nc>
  </rcc>
</revisions>
</file>

<file path=xl/revisions/revisionLog3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83" sId="1">
    <oc r="D766">
      <f>2883700+70000-2111604.31+267000-262984.84-49469.65</f>
    </oc>
    <nc r="D766">
      <f>2883700+70000-2111604.31+267000-262984.84-49469.65-91974.96</f>
    </nc>
  </rcc>
  <rcc rId="5684" sId="1" numFmtId="34">
    <oc r="D767">
      <v>1311616.22</v>
    </oc>
    <nc r="D767">
      <f>1311616.22-19165.64</f>
    </nc>
  </rcc>
</revisions>
</file>

<file path=xl/revisions/revisionLog3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85" sId="1" numFmtId="34">
    <oc r="D265">
      <v>12840203.869999999</v>
    </oc>
    <nc r="D265">
      <f>12840203.87+109165.64</f>
    </nc>
  </rcc>
  <rcc rId="5686" sId="1">
    <oc r="D264">
      <f>4772643.2+40062+226164.2+100000+200000+1087386+100000</f>
    </oc>
    <nc r="D264">
      <f>4772643.2+40062+226164.2+100000+200000+1087386+100000+91974.96</f>
    </nc>
  </rcc>
</revisions>
</file>

<file path=xl/revisions/revisionLog3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87" sId="1">
    <oc r="D706">
      <f>8457235.47+452891.15+307495-5000-50000-94296-2300.4-51137.52-512.48</f>
    </oc>
    <nc r="D706">
      <f>8457235.47+452891.15+307495-5000-50000-94296-2300.4-51137.52-512.48+142849.26</f>
    </nc>
  </rcc>
</revisions>
</file>

<file path=xl/revisions/revisionLog3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688" sId="1" ref="A707:XFD707" action="insertRow"/>
  <rrc rId="5689" sId="1" ref="A707:XFD707" action="insertRow"/>
  <rrc rId="5690" sId="1" ref="A707:XFD707" action="insertRow"/>
  <rcc rId="5691" sId="1">
    <nc r="C709">
      <v>321</v>
    </nc>
  </rcc>
  <rcc rId="5692" sId="1">
    <nc r="C708">
      <v>320</v>
    </nc>
  </rcc>
  <rcc rId="5693" sId="1">
    <nc r="C707">
      <v>300</v>
    </nc>
  </rcc>
  <rcc rId="5694" sId="1">
    <nc r="B709" t="inlineStr">
      <is>
        <t>54 1 00 80010</t>
      </is>
    </nc>
  </rcc>
  <rcc rId="5695" sId="1">
    <nc r="B708" t="inlineStr">
      <is>
        <t>54 1 00 80010</t>
      </is>
    </nc>
  </rcc>
  <rcc rId="5696" sId="1">
    <nc r="B707" t="inlineStr">
      <is>
        <t>54 1 00 80010</t>
      </is>
    </nc>
  </rcc>
  <rcc rId="5697" sId="1">
    <nc r="D708">
      <f>D709</f>
    </nc>
  </rcc>
  <rcc rId="5698" sId="1">
    <nc r="E708">
      <f>E709</f>
    </nc>
  </rcc>
  <rcc rId="5699" sId="1">
    <nc r="F708">
      <f>F709</f>
    </nc>
  </rcc>
  <rcc rId="5700" sId="1">
    <nc r="D707">
      <f>D708</f>
    </nc>
  </rcc>
  <rcc rId="5701" sId="1">
    <nc r="E707">
      <f>E708</f>
    </nc>
  </rcc>
  <rcc rId="5702" sId="1">
    <nc r="F707">
      <f>F708</f>
    </nc>
  </rcc>
  <rcc rId="5703" sId="1">
    <oc r="D698">
      <f>D699+D705+D710</f>
    </oc>
    <nc r="D698">
      <f>D699+D705+D710+D707</f>
    </nc>
  </rcc>
  <rcc rId="5704" sId="1">
    <oc r="E698">
      <f>E699+E705+E710</f>
    </oc>
    <nc r="E698">
      <f>E699+E705+E710+E707</f>
    </nc>
  </rcc>
  <rcc rId="5705" sId="1">
    <oc r="F698">
      <f>F699+F705+F710</f>
    </oc>
    <nc r="F698">
      <f>F699+F705+F710+F707</f>
    </nc>
  </rcc>
  <rcc rId="5706" sId="1" numFmtId="34">
    <nc r="D709">
      <v>146086.29</v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159" sId="1" ref="A324:XFD324" action="insertRow"/>
  <rrc rId="3160" sId="1" ref="A324:XFD324" action="insertRow"/>
  <rrc rId="3161" sId="1" ref="A324:XFD324" action="insertRow"/>
  <rrc rId="3162" sId="1" ref="A324:XFD324" action="insertRow"/>
  <rcc rId="3163" sId="1" quotePrefix="1">
    <nc r="C327" t="inlineStr">
      <is>
        <t>244</t>
      </is>
    </nc>
  </rcc>
  <rcc rId="3164" sId="1" quotePrefix="1">
    <nc r="C326" t="inlineStr">
      <is>
        <t>240</t>
      </is>
    </nc>
  </rcc>
  <rcc rId="3165" sId="1" quotePrefix="1">
    <nc r="C325" t="inlineStr">
      <is>
        <t>200</t>
      </is>
    </nc>
  </rcc>
  <rcc rId="3166" sId="1" xfDxf="1" dxf="1">
    <nc r="B324" t="inlineStr">
      <is>
        <t>08 0 00 S9170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167" sId="1" xfDxf="1" dxf="1">
    <nc r="B325" t="inlineStr">
      <is>
        <t>08 0 00 S9170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168" sId="1" xfDxf="1" dxf="1">
    <nc r="B326" t="inlineStr">
      <is>
        <t>08 0 00 S9170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169" sId="1" xfDxf="1" dxf="1">
    <nc r="B327" t="inlineStr">
      <is>
        <t>08 0 00 S9170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170" sId="1" xfDxf="1" dxf="1">
    <nc r="A324" t="inlineStr">
      <is>
        <t>Мероприятия в сфере общественного пассажирского транспорта и транспортной инфраструктуры (содержание и ремонт железнодорожного пути технологической узкоколейной железной дороги "Липаково-Лужма-Сеза")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171" sId="1" xfDxf="1" dxf="1">
    <nc r="A325" t="inlineStr">
      <is>
        <t>Закупка товаров, работ и услуг для обеспечения государственных (муниципальных) нужд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172" sId="1" xfDxf="1" dxf="1">
    <nc r="A326" t="inlineStr">
      <is>
        <t>Иные закупки товаров,работ и услуг для обеспечения государственных (муниципальных) нужд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173" sId="1" xfDxf="1" dxf="1">
    <nc r="A327" t="inlineStr">
      <is>
        <t xml:space="preserve">Прочая закупка товаров, работ и услуг 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174" sId="1">
    <nc r="D326">
      <f>D327</f>
    </nc>
  </rcc>
  <rcc rId="3175" sId="1">
    <nc r="E326">
      <f>E327</f>
    </nc>
  </rcc>
  <rcc rId="3176" sId="1">
    <nc r="F326">
      <f>F327</f>
    </nc>
  </rcc>
  <rcc rId="3177" sId="1">
    <nc r="D325">
      <f>D326</f>
    </nc>
  </rcc>
  <rcc rId="3178" sId="1">
    <nc r="E325">
      <f>E326</f>
    </nc>
  </rcc>
  <rcc rId="3179" sId="1">
    <nc r="F325">
      <f>F326</f>
    </nc>
  </rcc>
  <rcc rId="3180" sId="1">
    <nc r="D324">
      <f>D325</f>
    </nc>
  </rcc>
  <rcc rId="3181" sId="1">
    <nc r="E324">
      <f>E325</f>
    </nc>
  </rcc>
  <rcc rId="3182" sId="1">
    <nc r="F324">
      <f>F325</f>
    </nc>
  </rcc>
  <rfmt sheetId="1" sqref="A324:XFD327">
    <dxf>
      <fill>
        <patternFill>
          <bgColor theme="6" tint="0.59999389629810485"/>
        </patternFill>
      </fill>
    </dxf>
  </rfmt>
  <rcc rId="3183" sId="1">
    <oc r="D315">
      <f>D316+D320+D328+D333+D337</f>
    </oc>
    <nc r="D315">
      <f>D316+D320+D328+D333+D337+D324</f>
    </nc>
  </rcc>
  <rcc rId="3184" sId="1">
    <oc r="E315">
      <f>E316+E320+E328+E333+E337</f>
    </oc>
    <nc r="E315">
      <f>E316+E320+E328+E333+E337+E324</f>
    </nc>
  </rcc>
  <rcc rId="3185" sId="1">
    <oc r="F315">
      <f>F316+F320+F328+F333+F337</f>
    </oc>
    <nc r="F315">
      <f>F316+F320+F328+F333+F337+F324</f>
    </nc>
  </rcc>
  <rcv guid="{D9B90A86-BE39-4FED-8226-084809D277F3}" action="delete"/>
  <rdn rId="0" localSheetId="1" customView="1" name="Z_D9B90A86_BE39_4FED_8226_084809D277F3_.wvu.PrintArea" hidden="1" oldHidden="1">
    <formula>'программы '!$A$1:$F$803</formula>
    <oldFormula>'программы '!$A$1:$F$803</oldFormula>
  </rdn>
  <rdn rId="0" localSheetId="1" customView="1" name="Z_D9B90A86_BE39_4FED_8226_084809D277F3_.wvu.Rows" hidden="1" oldHidden="1">
    <formula>'программы '!$272:$276</formula>
    <oldFormula>'программы '!$272:$276</oldFormula>
  </rdn>
  <rdn rId="0" localSheetId="1" customView="1" name="Z_D9B90A86_BE39_4FED_8226_084809D277F3_.wvu.FilterData" hidden="1" oldHidden="1">
    <formula>'программы '!$A$1:$A$816</formula>
    <oldFormula>'программы '!$A$1:$A$816</oldFormula>
  </rdn>
  <rcv guid="{D9B90A86-BE39-4FED-8226-084809D277F3}" action="add"/>
</revisions>
</file>

<file path=xl/revisions/revisionLog3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07" sId="1">
    <nc r="A709" t="inlineStr">
      <is>
        <t>Пособия, компенсации и иные социальные выплаты гражданам, кроме публичных нормативных обязательств</t>
      </is>
    </nc>
  </rcc>
  <rcc rId="5708" sId="1">
    <nc r="A708" t="inlineStr">
      <is>
        <t>Социальные выплаты гражданам, кроме публичных нормативных социальных выплат</t>
      </is>
    </nc>
  </rcc>
  <rcc rId="5709" sId="1">
    <nc r="A707" t="inlineStr">
      <is>
        <t>Социальное обеспечение и иные выплаты населению</t>
      </is>
    </nc>
  </rcc>
</revisions>
</file>

<file path=xl/revisions/revisionLog3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9B90A86-BE39-4FED-8226-084809D277F3}" action="delete"/>
  <rdn rId="0" localSheetId="1" customView="1" name="Z_D9B90A86_BE39_4FED_8226_084809D277F3_.wvu.PrintArea" hidden="1" oldHidden="1">
    <formula>'программы '!$A$1:$F$939</formula>
    <oldFormula>'программы '!$A$1:$F$939</oldFormula>
  </rdn>
  <rdn rId="0" localSheetId="1" customView="1" name="Z_D9B90A86_BE39_4FED_8226_084809D277F3_.wvu.FilterData" hidden="1" oldHidden="1">
    <formula>'программы '!$C$1:$C$947</formula>
    <oldFormula>'программы '!$C$1:$C$947</oldFormula>
  </rdn>
  <rcv guid="{D9B90A86-BE39-4FED-8226-084809D277F3}" action="add"/>
</revisions>
</file>

<file path=xl/revisions/revisionLog3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12" sId="1">
    <oc r="F4" t="inlineStr">
      <is>
        <t xml:space="preserve">от                  ноября 2024 года №   </t>
      </is>
    </oc>
    <nc r="F4" t="inlineStr">
      <is>
        <t xml:space="preserve">от                  декабря 2024 года №   </t>
      </is>
    </nc>
  </rcc>
</revisions>
</file>

<file path=xl/revisions/revisionLog3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713" sId="1" ref="A527:XFD527" action="insertRow"/>
  <rrc rId="5714" sId="1" ref="A527:XFD527" action="insertRow"/>
  <rrc rId="5715" sId="1" ref="A527:XFD527" action="insertRow"/>
  <rrc rId="5716" sId="1" ref="A527:XFD527" action="insertRow"/>
  <rcc rId="5717" sId="1">
    <nc r="C530">
      <v>244</v>
    </nc>
  </rcc>
  <rcc rId="5718" sId="1">
    <nc r="C529">
      <v>240</v>
    </nc>
  </rcc>
  <rcc rId="5719" sId="1">
    <nc r="C528">
      <v>200</v>
    </nc>
  </rcc>
  <rcc rId="5720" sId="1">
    <nc r="B530" t="inlineStr">
      <is>
        <t>17 0 00 83681</t>
      </is>
    </nc>
  </rcc>
  <rcc rId="5721" sId="1">
    <nc r="B529" t="inlineStr">
      <is>
        <t>17 0 00 83681</t>
      </is>
    </nc>
  </rcc>
  <rcc rId="5722" sId="1">
    <nc r="B528" t="inlineStr">
      <is>
        <t>17 0 00 83681</t>
      </is>
    </nc>
  </rcc>
  <rcc rId="5723" sId="1">
    <nc r="B527" t="inlineStr">
      <is>
        <t>17 0 00 83681</t>
      </is>
    </nc>
  </rcc>
  <rcc rId="5724" sId="1">
    <oc r="A523" t="inlineStr">
      <is>
        <t>Мероприятия по благоустройству территорий и приобретение уборочной и коммунальной техники</t>
      </is>
    </oc>
    <nc r="A523" t="inlineStr">
      <is>
        <t>Мероприятия по повышению общего уровня благоустройства территорий</t>
      </is>
    </nc>
  </rcc>
  <rcc rId="5725" sId="1">
    <nc r="A527" t="inlineStr">
      <is>
        <t>Мероприятия по повышению общего уровня благоустройства дворовых территорий</t>
      </is>
    </nc>
  </rcc>
  <rcc rId="5726" sId="1">
    <nc r="A530" t="inlineStr">
      <is>
        <t xml:space="preserve">Прочая закупка товаров, работ и услуг </t>
      </is>
    </nc>
  </rcc>
  <rcc rId="5727" sId="1">
    <nc r="A529" t="inlineStr">
      <is>
        <t>Иные закупки товаров, работ и услуг для обеспечения государственных (муниципальных) нужд</t>
      </is>
    </nc>
  </rcc>
  <rcc rId="5728" sId="1">
    <nc r="A528" t="inlineStr">
      <is>
        <t>Закупка товаров, работ и услуг для обеспечения государственных (муниципальных) нужд</t>
      </is>
    </nc>
  </rcc>
  <rcc rId="5729" sId="1">
    <nc r="D529">
      <f>D530</f>
    </nc>
  </rcc>
  <rcc rId="5730" sId="1">
    <nc r="E529">
      <f>E530</f>
    </nc>
  </rcc>
  <rcc rId="5731" sId="1">
    <nc r="F529">
      <f>F530</f>
    </nc>
  </rcc>
  <rcc rId="5732" sId="1">
    <nc r="D527">
      <f>D528</f>
    </nc>
  </rcc>
  <rcc rId="5733" sId="1">
    <nc r="E527">
      <f>E528</f>
    </nc>
  </rcc>
  <rcc rId="5734" sId="1">
    <nc r="F527">
      <f>F528</f>
    </nc>
  </rcc>
  <rcc rId="5735" sId="1">
    <nc r="D528">
      <f>D529</f>
    </nc>
  </rcc>
  <rcc rId="5736" sId="1">
    <nc r="E528">
      <f>E529</f>
    </nc>
  </rcc>
  <rcc rId="5737" sId="1">
    <nc r="F528">
      <f>F529</f>
    </nc>
  </rcc>
  <rcc rId="5738" sId="1">
    <oc r="D522">
      <f>D539+D523+D531+D535</f>
    </oc>
    <nc r="D522">
      <f>D539+D523+D531+D535+D527</f>
    </nc>
  </rcc>
  <rcc rId="5739" sId="1">
    <oc r="E522">
      <f>E539+E523+E531+E535</f>
    </oc>
    <nc r="E522">
      <f>E539+E523+E531+E535+E527</f>
    </nc>
  </rcc>
  <rcc rId="5740" sId="1">
    <oc r="F522">
      <f>F539+F523+F531+F535</f>
    </oc>
    <nc r="F522">
      <f>F539+F523+F531+F535+F527</f>
    </nc>
  </rcc>
  <rcc rId="5741" sId="1" numFmtId="34">
    <nc r="D530">
      <v>587326.76</v>
    </nc>
  </rcc>
  <rcc rId="5742" sId="1">
    <oc r="D526">
      <f>55099.99+1375048.64-727434.02+587326.76</f>
    </oc>
    <nc r="D526">
      <f>55099.99+1375048.64-727434.02+587326.76-587326.76</f>
    </nc>
  </rcc>
</revisions>
</file>

<file path=xl/revisions/revisionLog3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43" sId="1" numFmtId="34">
    <oc r="D598">
      <v>171180</v>
    </oc>
    <nc r="D598">
      <f>171180-32757.1</f>
    </nc>
  </rcc>
  <rcc rId="5744" sId="1" numFmtId="34">
    <oc r="D602">
      <v>893200</v>
    </oc>
    <nc r="D602">
      <f>893200+32757.1</f>
    </nc>
  </rcc>
</revisions>
</file>

<file path=xl/revisions/revisionLog3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45" sId="1">
    <oc r="B463" t="inlineStr">
      <is>
        <t>12 4 00 80100</t>
      </is>
    </oc>
    <nc r="B463" t="inlineStr">
      <is>
        <t>12 4 00 80010</t>
      </is>
    </nc>
  </rcc>
  <rcc rId="5746" sId="1">
    <oc r="B464" t="inlineStr">
      <is>
        <t>12 4 00 80100</t>
      </is>
    </oc>
    <nc r="B464" t="inlineStr">
      <is>
        <t>12 4 00 80010</t>
      </is>
    </nc>
  </rcc>
  <rcc rId="5747" sId="1">
    <oc r="B465" t="inlineStr">
      <is>
        <t>12 4 00 80100</t>
      </is>
    </oc>
    <nc r="B465" t="inlineStr">
      <is>
        <t>12 4 00 80010</t>
      </is>
    </nc>
  </rcc>
  <rcc rId="5748" sId="1">
    <oc r="B466" t="inlineStr">
      <is>
        <t>12 4 00 80100</t>
      </is>
    </oc>
    <nc r="B466" t="inlineStr">
      <is>
        <t>12 4 00 80010</t>
      </is>
    </nc>
  </rcc>
  <rcc rId="5749" sId="1">
    <oc r="B467" t="inlineStr">
      <is>
        <t>12 4 00 80100</t>
      </is>
    </oc>
    <nc r="B467" t="inlineStr">
      <is>
        <t>12 4 00 80010</t>
      </is>
    </nc>
  </rcc>
  <rcc rId="5750" sId="1">
    <oc r="B468" t="inlineStr">
      <is>
        <t>12 4 00 80100</t>
      </is>
    </oc>
    <nc r="B468" t="inlineStr">
      <is>
        <t>12 4 00 80010</t>
      </is>
    </nc>
  </rcc>
  <rcc rId="5751" sId="1">
    <oc r="B469" t="inlineStr">
      <is>
        <t>12 4 00 80100</t>
      </is>
    </oc>
    <nc r="B469" t="inlineStr">
      <is>
        <t>12 4 00 80010</t>
      </is>
    </nc>
  </rcc>
  <rcc rId="5752" sId="1">
    <oc r="B470" t="inlineStr">
      <is>
        <t>12 4 00 80100</t>
      </is>
    </oc>
    <nc r="B470" t="inlineStr">
      <is>
        <t>12 4 00 80010</t>
      </is>
    </nc>
  </rcc>
  <rcc rId="5753" sId="1">
    <oc r="B471" t="inlineStr">
      <is>
        <t>12 4 00 80100</t>
      </is>
    </oc>
    <nc r="B471" t="inlineStr">
      <is>
        <t>12 4 00 80010</t>
      </is>
    </nc>
  </rcc>
  <rcc rId="5754" sId="1">
    <oc r="B472" t="inlineStr">
      <is>
        <t>12 4 00 80100</t>
      </is>
    </oc>
    <nc r="B472" t="inlineStr">
      <is>
        <t>12 4 00 80010</t>
      </is>
    </nc>
  </rcc>
  <rcc rId="5755" sId="1">
    <oc r="B473" t="inlineStr">
      <is>
        <t>12 4 00 80100</t>
      </is>
    </oc>
    <nc r="B473" t="inlineStr">
      <is>
        <t>12 4 00 80010</t>
      </is>
    </nc>
  </rcc>
  <rcc rId="5756" sId="1">
    <oc r="A463" t="inlineStr">
      <is>
        <t>Расходы на обеспечение деятельности подведомственных учреждений</t>
      </is>
    </oc>
    <nc r="A463" t="inlineStr">
      <is>
        <t>Расходы на содержание муниципальных органов и обеспечение их функций</t>
      </is>
    </nc>
  </rcc>
  <rcc rId="5757" sId="1">
    <oc r="A465" t="inlineStr">
      <is>
        <t>Расходы на выплату персоналу казенных учреждений</t>
      </is>
    </oc>
    <nc r="A465" t="inlineStr">
      <is>
        <t>Расходы на выплаты персоналу государственных (муниципальных) органов</t>
      </is>
    </nc>
  </rcc>
  <rcc rId="5758" sId="1">
    <oc r="A467" t="inlineStr">
      <is>
        <t>Иные выплаты персоналу казенных учреждений, за исключением фонда оплаты труда</t>
      </is>
    </oc>
    <nc r="A467" t="inlineStr">
      <is>
        <t>Иные выплаты персоналу государственных (муниципальных) органов, за исключением фонда оплаты труда</t>
      </is>
    </nc>
  </rcc>
  <rcc rId="5759" sId="1">
    <oc r="A468" t="inlineStr">
      <is>
        <t>Взносы по обязательному социальному страхованию на выплаты денежного содержания и иные выплаты работникам казенных учреждений</t>
      </is>
    </oc>
    <nc r="A468" t="inlineStr">
      <is>
    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    </is>
    </nc>
  </rcc>
  <rcv guid="{D9B90A86-BE39-4FED-8226-084809D277F3}" action="delete"/>
  <rdn rId="0" localSheetId="1" customView="1" name="Z_D9B90A86_BE39_4FED_8226_084809D277F3_.wvu.PrintArea" hidden="1" oldHidden="1">
    <formula>'программы '!$A$1:$F$943</formula>
    <oldFormula>'программы '!$A$1:$F$943</oldFormula>
  </rdn>
  <rdn rId="0" localSheetId="1" customView="1" name="Z_D9B90A86_BE39_4FED_8226_084809D277F3_.wvu.FilterData" hidden="1" oldHidden="1">
    <formula>'программы '!$C$1:$C$951</formula>
    <oldFormula>'программы '!$C$1:$C$951</oldFormula>
  </rdn>
  <rcv guid="{D9B90A86-BE39-4FED-8226-084809D277F3}" action="add"/>
</revisions>
</file>

<file path=xl/revisions/revisionLog3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29" sId="1" numFmtId="34">
    <oc r="D875">
      <v>4991784.8</v>
    </oc>
    <nc r="D875">
      <f>4991784.8+166693</f>
    </nc>
  </rcc>
  <rcc rId="5830" sId="1" numFmtId="34">
    <oc r="D876">
      <v>160000</v>
    </oc>
    <nc r="D876">
      <f>160000-121910.47</f>
    </nc>
  </rcc>
  <rcc rId="5831" sId="1" numFmtId="34">
    <oc r="D877">
      <v>1507519.01</v>
    </oc>
    <nc r="D877">
      <f>1507519.01+139760.47</f>
    </nc>
  </rcc>
  <rcc rId="5832" sId="1" numFmtId="34">
    <oc r="D880">
      <v>560000</v>
    </oc>
    <nc r="D880">
      <f>560000-184543</f>
    </nc>
  </rcc>
  <rcv guid="{D9B90A86-BE39-4FED-8226-084809D277F3}" action="delete"/>
  <rdn rId="0" localSheetId="1" customView="1" name="Z_D9B90A86_BE39_4FED_8226_084809D277F3_.wvu.PrintArea" hidden="1" oldHidden="1">
    <formula>'программы '!$A$4:$F$954</formula>
    <oldFormula>'программы '!$A$4:$F$954</oldFormula>
  </rdn>
  <rdn rId="0" localSheetId="1" customView="1" name="Z_D9B90A86_BE39_4FED_8226_084809D277F3_.wvu.FilterData" hidden="1" oldHidden="1">
    <formula>'программы '!$C$4:$C$962</formula>
    <oldFormula>'программы '!$C$4:$C$962</oldFormula>
  </rdn>
  <rcv guid="{D9B90A86-BE39-4FED-8226-084809D277F3}" action="add"/>
</revisions>
</file>

<file path=xl/revisions/revisionLog3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D19:F19">
    <dxf>
      <alignment horizontal="center" readingOrder="0"/>
    </dxf>
  </rfmt>
</revisions>
</file>

<file path=xl/revisions/revisionLog3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35" sId="1">
    <oc r="F7" t="inlineStr">
      <is>
        <t xml:space="preserve">от                  декабря 2024 года №   </t>
      </is>
    </oc>
    <nc r="F7" t="inlineStr">
      <is>
        <t xml:space="preserve">от  17   декабря 2024 года №  242 </t>
      </is>
    </nc>
  </rcc>
  <rdn rId="0" localSheetId="1" customView="1" name="Z_A9343E6B_D859_48A0_829D_4F2D36478972_.wvu.PrintArea" hidden="1" oldHidden="1">
    <formula>'программы '!$A$4:$F$954</formula>
  </rdn>
  <rdn rId="0" localSheetId="1" customView="1" name="Z_A9343E6B_D859_48A0_829D_4F2D36478972_.wvu.FilterData" hidden="1" oldHidden="1">
    <formula>'программы '!$C$4:$C$962</formula>
  </rdn>
  <rcv guid="{A9343E6B-D859-48A0-829D-4F2D36478972}" action="add"/>
</revisions>
</file>

<file path=xl/revisions/revisionLog3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838" sId="1" ref="A1:XFD1" action="deleteRow">
    <undo index="0" exp="area" ref3D="1" dr="$A$1:$F$954" dn="Z_9A752CC5_36AC_48BE_BF4B_1A38C4015906_.wvu.PrintArea" sId="1"/>
    <undo index="0" exp="area" ref3D="1" dr="$A$314:$XFD$322" dn="Z_30E81E54_DD45_4653_9DCD_548F6723F554_.wvu.Rows" sId="1"/>
    <rfmt sheetId="1" xfDxf="1" sqref="A1:XFD1" start="0" length="0">
      <dxf>
        <font>
          <sz val="11"/>
          <name val="Times New Roman"/>
          <scheme val="none"/>
        </font>
        <alignment vertical="center" readingOrder="0"/>
      </dxf>
    </rfmt>
    <rfmt sheetId="1" sqref="A1" start="0" length="0">
      <dxf>
        <fill>
          <patternFill patternType="solid">
            <bgColor theme="0"/>
          </patternFill>
        </fill>
      </dxf>
    </rfmt>
    <rfmt sheetId="1" sqref="B1" start="0" length="0">
      <dxf>
        <fill>
          <patternFill patternType="solid">
            <bgColor theme="0"/>
          </patternFill>
        </fill>
        <alignment horizontal="center" readingOrder="0"/>
      </dxf>
    </rfmt>
    <rfmt sheetId="1" sqref="C1" start="0" length="0">
      <dxf>
        <fill>
          <patternFill patternType="solid">
            <bgColor theme="0"/>
          </patternFill>
        </fill>
        <alignment horizontal="center" readingOrder="0"/>
      </dxf>
    </rfmt>
    <rfmt sheetId="1" sqref="D1" start="0" length="0">
      <dxf>
        <numFmt numFmtId="164" formatCode="_-* #,##0.00_р_._-;\-* #,##0.00_р_._-;_-* &quot;-&quot;??_р_._-;_-@_-"/>
        <fill>
          <patternFill patternType="solid">
            <bgColor theme="0"/>
          </patternFill>
        </fill>
      </dxf>
    </rfmt>
    <rfmt sheetId="1" sqref="E1" start="0" length="0">
      <dxf>
        <numFmt numFmtId="164" formatCode="_-* #,##0.00_р_._-;\-* #,##0.00_р_._-;_-* &quot;-&quot;??_р_._-;_-@_-"/>
        <fill>
          <patternFill patternType="solid">
            <bgColor theme="0"/>
          </patternFill>
        </fill>
      </dxf>
    </rfmt>
    <rcc rId="0" sId="1" dxf="1">
      <nc r="F1" t="inlineStr">
        <is>
          <t>Приложение №3</t>
        </is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horizontal="right" readingOrder="0"/>
      </ndxf>
    </rcc>
    <rfmt sheetId="1" sqref="G1" start="0" length="0">
      <dxf>
        <fill>
          <patternFill patternType="solid">
            <bgColor theme="0"/>
          </patternFill>
        </fill>
      </dxf>
    </rfmt>
    <rfmt sheetId="1" sqref="H1" start="0" length="0">
      <dxf>
        <fill>
          <patternFill patternType="solid">
            <bgColor theme="0"/>
          </patternFill>
        </fill>
      </dxf>
    </rfmt>
    <rfmt sheetId="1" sqref="I1" start="0" length="0">
      <dxf>
        <fill>
          <patternFill patternType="solid">
            <bgColor theme="0"/>
          </patternFill>
        </fill>
      </dxf>
    </rfmt>
    <rfmt sheetId="1" sqref="J1" start="0" length="0">
      <dxf>
        <fill>
          <patternFill patternType="solid">
            <bgColor theme="0"/>
          </patternFill>
        </fill>
      </dxf>
    </rfmt>
  </rrc>
  <rrc rId="5839" sId="1" ref="A1:XFD1" action="deleteRow">
    <undo index="0" exp="area" ref3D="1" dr="$A$1:$F$953" dn="Z_9A752CC5_36AC_48BE_BF4B_1A38C4015906_.wvu.PrintArea" sId="1"/>
    <undo index="0" exp="area" ref3D="1" dr="$A$313:$XFD$321" dn="Z_30E81E54_DD45_4653_9DCD_548F6723F554_.wvu.Rows" sId="1"/>
    <rfmt sheetId="1" xfDxf="1" sqref="A1:XFD1" start="0" length="0">
      <dxf>
        <font>
          <sz val="11"/>
          <name val="Times New Roman"/>
          <scheme val="none"/>
        </font>
        <alignment vertical="center" readingOrder="0"/>
      </dxf>
    </rfmt>
    <rfmt sheetId="1" sqref="A1" start="0" length="0">
      <dxf>
        <fill>
          <patternFill patternType="solid">
            <bgColor theme="0"/>
          </patternFill>
        </fill>
      </dxf>
    </rfmt>
    <rfmt sheetId="1" sqref="B1" start="0" length="0">
      <dxf>
        <fill>
          <patternFill patternType="solid">
            <bgColor theme="0"/>
          </patternFill>
        </fill>
        <alignment horizontal="center" readingOrder="0"/>
      </dxf>
    </rfmt>
    <rfmt sheetId="1" sqref="C1" start="0" length="0">
      <dxf>
        <fill>
          <patternFill patternType="solid">
            <bgColor theme="0"/>
          </patternFill>
        </fill>
        <alignment horizontal="center" readingOrder="0"/>
      </dxf>
    </rfmt>
    <rfmt sheetId="1" sqref="D1" start="0" length="0">
      <dxf>
        <numFmt numFmtId="164" formatCode="_-* #,##0.00_р_._-;\-* #,##0.00_р_._-;_-* &quot;-&quot;??_р_._-;_-@_-"/>
        <fill>
          <patternFill patternType="solid">
            <bgColor theme="0"/>
          </patternFill>
        </fill>
      </dxf>
    </rfmt>
    <rfmt sheetId="1" sqref="E1" start="0" length="0">
      <dxf>
        <numFmt numFmtId="164" formatCode="_-* #,##0.00_р_._-;\-* #,##0.00_р_._-;_-* &quot;-&quot;??_р_._-;_-@_-"/>
        <fill>
          <patternFill patternType="solid">
            <bgColor theme="0"/>
          </patternFill>
        </fill>
      </dxf>
    </rfmt>
    <rcc rId="0" sId="1" dxf="1">
      <nc r="F1" t="inlineStr">
        <is>
          <t>к таблице поправок №1</t>
        </is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horizontal="right" readingOrder="0"/>
      </ndxf>
    </rcc>
    <rfmt sheetId="1" sqref="G1" start="0" length="0">
      <dxf>
        <fill>
          <patternFill patternType="solid">
            <bgColor theme="0"/>
          </patternFill>
        </fill>
      </dxf>
    </rfmt>
    <rfmt sheetId="1" sqref="H1" start="0" length="0">
      <dxf>
        <fill>
          <patternFill patternType="solid">
            <bgColor theme="0"/>
          </patternFill>
        </fill>
      </dxf>
    </rfmt>
    <rfmt sheetId="1" sqref="I1" start="0" length="0">
      <dxf>
        <fill>
          <patternFill patternType="solid">
            <bgColor theme="0"/>
          </patternFill>
        </fill>
      </dxf>
    </rfmt>
    <rfmt sheetId="1" sqref="J1" start="0" length="0">
      <dxf>
        <fill>
          <patternFill patternType="solid">
            <bgColor theme="0"/>
          </patternFill>
        </fill>
      </dxf>
    </rfmt>
  </rrc>
  <rrc rId="5840" sId="1" ref="A1:XFD1" action="deleteRow">
    <undo index="0" exp="area" ref3D="1" dr="$A$1:$F$952" dn="Z_9A752CC5_36AC_48BE_BF4B_1A38C4015906_.wvu.PrintArea" sId="1"/>
    <undo index="0" exp="area" ref3D="1" dr="$A$312:$XFD$320" dn="Z_30E81E54_DD45_4653_9DCD_548F6723F554_.wvu.Rows" sId="1"/>
    <rfmt sheetId="1" xfDxf="1" sqref="A1:XFD1" start="0" length="0">
      <dxf>
        <font>
          <sz val="11"/>
          <name val="Times New Roman"/>
          <scheme val="none"/>
        </font>
        <alignment vertical="center" readingOrder="0"/>
      </dxf>
    </rfmt>
    <rfmt sheetId="1" sqref="A1" start="0" length="0">
      <dxf>
        <fill>
          <patternFill patternType="solid">
            <bgColor theme="0"/>
          </patternFill>
        </fill>
      </dxf>
    </rfmt>
    <rfmt sheetId="1" sqref="B1" start="0" length="0">
      <dxf>
        <fill>
          <patternFill patternType="solid">
            <bgColor theme="0"/>
          </patternFill>
        </fill>
        <alignment horizontal="center" readingOrder="0"/>
      </dxf>
    </rfmt>
    <rfmt sheetId="1" sqref="C1" start="0" length="0">
      <dxf>
        <fill>
          <patternFill patternType="solid">
            <bgColor theme="0"/>
          </patternFill>
        </fill>
        <alignment horizontal="center" readingOrder="0"/>
      </dxf>
    </rfmt>
    <rfmt sheetId="1" sqref="D1" start="0" length="0">
      <dxf>
        <numFmt numFmtId="164" formatCode="_-* #,##0.00_р_._-;\-* #,##0.00_р_._-;_-* &quot;-&quot;??_р_._-;_-@_-"/>
        <fill>
          <patternFill patternType="solid">
            <bgColor theme="0"/>
          </patternFill>
        </fill>
      </dxf>
    </rfmt>
    <rfmt sheetId="1" sqref="E1" start="0" length="0">
      <dxf>
        <numFmt numFmtId="164" formatCode="_-* #,##0.00_р_._-;\-* #,##0.00_р_._-;_-* &quot;-&quot;??_р_._-;_-@_-"/>
        <fill>
          <patternFill patternType="solid">
            <bgColor theme="0"/>
          </patternFill>
        </fill>
      </dxf>
    </rfmt>
    <rfmt sheetId="1" sqref="F1" start="0" length="0">
      <dxf>
        <numFmt numFmtId="164" formatCode="_-* #,##0.00_р_._-;\-* #,##0.00_р_._-;_-* &quot;-&quot;??_р_._-;_-@_-"/>
        <fill>
          <patternFill patternType="solid">
            <bgColor theme="0"/>
          </patternFill>
        </fill>
        <alignment horizontal="right" readingOrder="0"/>
      </dxf>
    </rfmt>
    <rfmt sheetId="1" sqref="G1" start="0" length="0">
      <dxf>
        <fill>
          <patternFill patternType="solid">
            <bgColor theme="0"/>
          </patternFill>
        </fill>
      </dxf>
    </rfmt>
    <rfmt sheetId="1" sqref="H1" start="0" length="0">
      <dxf>
        <fill>
          <patternFill patternType="solid">
            <bgColor theme="0"/>
          </patternFill>
        </fill>
      </dxf>
    </rfmt>
    <rfmt sheetId="1" sqref="I1" start="0" length="0">
      <dxf>
        <fill>
          <patternFill patternType="solid">
            <bgColor theme="0"/>
          </patternFill>
        </fill>
      </dxf>
    </rfmt>
    <rfmt sheetId="1" sqref="J1" start="0" length="0">
      <dxf>
        <fill>
          <patternFill patternType="solid">
            <bgColor theme="0"/>
          </patternFill>
        </fill>
      </dxf>
    </rfmt>
  </rrc>
  <rcv guid="{A9343E6B-D859-48A0-829D-4F2D36478972}" action="delete"/>
  <rdn rId="0" localSheetId="1" customView="1" name="Z_A9343E6B_D859_48A0_829D_4F2D36478972_.wvu.PrintArea" hidden="1" oldHidden="1">
    <formula>'программы '!$A$1:$F$951</formula>
    <oldFormula>'программы '!$A$1:$F$951</oldFormula>
  </rdn>
  <rdn rId="0" localSheetId="1" customView="1" name="Z_A9343E6B_D859_48A0_829D_4F2D36478972_.wvu.FilterData" hidden="1" oldHidden="1">
    <formula>'программы '!$C$1:$C$959</formula>
    <oldFormula>'программы '!$C$1:$C$959</oldFormula>
  </rdn>
  <rcv guid="{A9343E6B-D859-48A0-829D-4F2D36478972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475:B478">
    <dxf>
      <fill>
        <patternFill patternType="solid">
          <bgColor theme="6" tint="0.59999389629810485"/>
        </patternFill>
      </fill>
    </dxf>
  </rfmt>
  <rcc rId="3189" sId="1">
    <oc r="B475" t="inlineStr">
      <is>
        <t>18 0 F5 52430</t>
      </is>
    </oc>
    <nc r="B475" t="inlineStr">
      <is>
        <t>18 0 F5 52431</t>
      </is>
    </nc>
  </rcc>
  <rcc rId="3190" sId="1">
    <oc r="B476" t="inlineStr">
      <is>
        <t>18 0 F5 52430</t>
      </is>
    </oc>
    <nc r="B476" t="inlineStr">
      <is>
        <t>18 0 F5 52431</t>
      </is>
    </nc>
  </rcc>
  <rcc rId="3191" sId="1">
    <oc r="B477" t="inlineStr">
      <is>
        <t>18 0 F5 52430</t>
      </is>
    </oc>
    <nc r="B477" t="inlineStr">
      <is>
        <t>18 0 F5 52431</t>
      </is>
    </nc>
  </rcc>
  <rcc rId="3192" sId="1">
    <oc r="B478" t="inlineStr">
      <is>
        <t>18 0 F5 52430</t>
      </is>
    </oc>
    <nc r="B478" t="inlineStr">
      <is>
        <t>18 0 F5 52431</t>
      </is>
    </nc>
  </rcc>
</revisions>
</file>

<file path=xl/revisions/revisionLog3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843" sId="1" ref="E1:E1048576" action="deleteCol">
    <undo index="0" exp="area" ref3D="1" dr="$A$311:$XFD$319" dn="Z_30E81E54_DD45_4653_9DCD_548F6723F554_.wvu.Rows" sId="1"/>
    <rfmt sheetId="1" xfDxf="1" sqref="E1:E1048576" start="0" length="0">
      <dxf>
        <font>
          <sz val="1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</dxf>
    </rfmt>
    <rfmt sheetId="1" s="1" sqref="E1" start="0" length="0">
      <dxf>
        <font>
          <sz val="10"/>
          <color auto="1"/>
          <name val="Times New Roman"/>
          <scheme val="none"/>
        </font>
        <numFmt numFmtId="0" formatCode="General"/>
        <alignment horizontal="right" readingOrder="0"/>
      </dxf>
    </rfmt>
    <rfmt sheetId="1" sqref="E2" start="0" length="0">
      <dxf>
        <font>
          <sz val="11"/>
          <name val="Times New Roman"/>
          <scheme val="none"/>
        </font>
        <alignment horizontal="right" readingOrder="0"/>
      </dxf>
    </rfmt>
    <rfmt sheetId="1" sqref="E3" start="0" length="0">
      <dxf>
        <font>
          <sz val="11"/>
          <name val="Times New Roman"/>
          <scheme val="none"/>
        </font>
        <alignment horizontal="right" readingOrder="0"/>
      </dxf>
    </rfmt>
    <rfmt sheetId="1" sqref="E4" start="0" length="0">
      <dxf>
        <font>
          <sz val="11"/>
          <name val="Times New Roman"/>
          <scheme val="none"/>
        </font>
        <alignment horizontal="right" readingOrder="0"/>
      </dxf>
    </rfmt>
    <rfmt sheetId="1" sqref="E5" start="0" length="0">
      <dxf>
        <font>
          <sz val="11"/>
          <name val="Times New Roman"/>
          <scheme val="none"/>
        </font>
      </dxf>
    </rfmt>
    <rfmt sheetId="1" s="1" sqref="E6" start="0" length="0">
      <dxf>
        <font>
          <sz val="10"/>
          <color auto="1"/>
          <name val="Times New Roman"/>
          <scheme val="none"/>
        </font>
        <numFmt numFmtId="0" formatCode="General"/>
        <alignment horizontal="right" readingOrder="0"/>
      </dxf>
    </rfmt>
    <rfmt sheetId="1" sqref="E7" start="0" length="0">
      <dxf>
        <font>
          <sz val="11"/>
          <name val="Times New Roman"/>
          <scheme val="none"/>
        </font>
        <alignment horizontal="right" readingOrder="0"/>
      </dxf>
    </rfmt>
    <rfmt sheetId="1" sqref="E8" start="0" length="0">
      <dxf>
        <font>
          <sz val="11"/>
          <name val="Times New Roman"/>
          <scheme val="none"/>
        </font>
        <alignment horizontal="right" readingOrder="0"/>
      </dxf>
    </rfmt>
    <rfmt sheetId="1" sqref="E9" start="0" length="0">
      <dxf>
        <font>
          <sz val="11"/>
          <name val="Times New Roman"/>
          <scheme val="none"/>
        </font>
        <alignment horizontal="right" readingOrder="0"/>
      </dxf>
    </rfmt>
    <rfmt sheetId="1" sqref="E10" start="0" length="0">
      <dxf>
        <font>
          <sz val="11"/>
          <name val="Times New Roman"/>
          <scheme val="none"/>
        </font>
      </dxf>
    </rfmt>
    <rfmt sheetId="1" sqref="E11" start="0" length="0">
      <dxf>
        <font>
          <sz val="11"/>
          <name val="Times New Roman"/>
          <scheme val="none"/>
        </font>
      </dxf>
    </rfmt>
    <rfmt sheetId="1" sqref="E12" start="0" length="0">
      <dxf>
        <font>
          <b/>
          <sz val="11"/>
          <name val="Times New Roman"/>
          <scheme val="none"/>
        </font>
        <numFmt numFmtId="0" formatCode="General"/>
        <alignment horizontal="center" wrapText="1" readingOrder="0"/>
      </dxf>
    </rfmt>
    <rfmt sheetId="1" sqref="E13" start="0" length="0">
      <dxf>
        <font>
          <b/>
          <sz val="11"/>
          <name val="Times New Roman"/>
          <scheme val="none"/>
        </font>
        <numFmt numFmtId="0" formatCode="General"/>
        <alignment horizontal="center" readingOrder="0"/>
      </dxf>
    </rfmt>
    <rfmt sheetId="1" sqref="E14" start="0" length="0">
      <dxf>
        <font>
          <sz val="11"/>
          <name val="Times New Roman"/>
          <scheme val="none"/>
        </font>
      </dxf>
    </rfmt>
    <rfmt sheetId="1" sqref="E15" start="0" length="0">
      <dxf>
        <font>
          <sz val="1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16" t="inlineStr">
        <is>
          <t>2025 год</t>
        </is>
      </nc>
      <ndxf>
        <font>
          <sz val="11"/>
          <name val="Times New Roman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s="1" dxf="1">
      <nc r="E17">
        <f>E39+E285+E320+E366+E377+E405+E410+E416+E422+E486+E514+E566++E590++E248+E23+E18+E595+E530+E552+E495+E500+E600+E622</f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8">
        <f>E19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9">
        <f>E21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0">
        <f>E21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1">
        <f>E22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2">
        <v>100000</v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3">
        <f>E28+E24+E32+E35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4">
        <f>E25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5">
        <f>E26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6">
        <f>E27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7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8">
        <f>E30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9">
        <f>E30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0">
        <f>E31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1">
        <f>52347600-29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2">
        <f>E33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3">
        <f>E34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4">
        <v>0</v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5">
        <f>E37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6">
        <f>E37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7">
        <f>E38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8">
        <v>0</v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9">
        <f>E40+E74+E174+E215+E234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0">
        <f>E45+E49+E65+E70+E53+E61+E57+E41</f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1">
        <f>E42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2">
        <f>E43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3">
        <f>E44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44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45">
        <f>E47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6">
        <f>E47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7">
        <f>E48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8">
        <v>7240725.2699999996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9">
        <f>E51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0">
        <f>E51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1">
        <f>E52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2">
        <v>213836411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3">
        <f>E55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4">
        <f>E55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5">
        <f>E56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6">
        <f>11693270-2013650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7">
        <f>E58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8">
        <f>E59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9">
        <f>E60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60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61">
        <f>E62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2">
        <f>E63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3">
        <f>E64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64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65">
        <f>E67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6">
        <f>E67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7">
        <f>E68+E69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8">
        <v>65763371.750000007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9">
        <v>5074868.5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0">
        <f>E72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1">
        <f>E72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2">
        <f>E73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3">
        <v>927855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4">
        <f>E91+E95+E111+E116+E166+E170+E131+E139+E152+E143+E135+E103+E123+E161+E99+E79+E107+E83+E75+E87</f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5">
        <f>E76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6">
        <f>E77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7">
        <f>E78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78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79">
        <f>E80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0">
        <f>E81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1">
        <f>E82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82">
        <v>33307285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3">
        <f>E84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4">
        <f>E85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5">
        <f>E86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86">
        <v>105019101.12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7">
        <f>E88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8">
        <f>E89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9">
        <f>E90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90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91">
        <f>E93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2">
        <f>E93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3">
        <f>E94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94">
        <v>29452610.77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5">
        <f>E98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6">
        <f>E97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7">
        <f>E98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98">
        <v>491332408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9">
        <f>E100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00">
        <f>E101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01">
        <f>E102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102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103">
        <f>E104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04">
        <f>E105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05">
        <f>E106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06">
        <v>21210460.670000002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07">
        <f>E108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08">
        <f>E109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09">
        <f>E110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10">
        <v>520282.97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11">
        <f>E113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12">
        <f>E113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13">
        <f>E114+E115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14">
        <v>125619716.20999999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15">
        <v>385600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16">
        <f>E121+E117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17">
        <f>E118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18">
        <f>E119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19">
        <v>3000000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20">
        <f>E121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21">
        <f>E122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22">
        <v>3387420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23">
        <f>E124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24">
        <f>E125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25">
        <f>E126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126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127">
        <f>E128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28">
        <f>E129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29">
        <f>E130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30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31">
        <f>E133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32">
        <f>E133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33">
        <f>E134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34">
        <f>2114504-1057252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35">
        <f>E137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36">
        <f>E137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37">
        <f>E138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38">
        <v>1471052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39">
        <f>E140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40">
        <f>E141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41">
        <f>E142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42">
        <v>303615.37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3">
        <f>E144+E148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44">
        <f>E145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45">
        <f>E146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46">
        <f>E147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47">
        <v>172103.03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48">
        <f>E149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49">
        <f>E150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50">
        <f>E151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51">
        <v>369703.92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52">
        <f>E153+E157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53">
        <f>E154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54">
        <f>E155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55">
        <f>E156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56">
        <v>573789.04</v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57">
        <f>E158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58">
        <f>E159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59">
        <f>E160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160" start="0" length="0">
      <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161">
        <f>E162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62">
        <f>E163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63">
        <f>E164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64">
        <f>E165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65">
        <v>4396968.58</v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66">
        <f>E168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67">
        <f>E168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68">
        <f>E169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69">
        <v>179324.98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70">
        <f>E172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71">
        <f>E172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72">
        <f>E173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73">
        <v>24437441.52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74">
        <f>E179+E183+E188+E198+E193+E175</f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75">
        <f>E176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76">
        <f>E177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77">
        <f>E178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78">
        <v>800000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79">
        <f>E181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80">
        <f>E181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81">
        <f>E182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82">
        <v>4600000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83">
        <f>E185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84">
        <f>E185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85">
        <f>E186+E187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86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87">
        <v>93470621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88">
        <f>E190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89">
        <f>E190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90">
        <f>E191+E192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91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92">
        <v>8536162.9800000004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93">
        <f>E194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94">
        <f>E195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95">
        <f>E196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96">
        <f>E197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197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198">
        <f>E199+E203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99">
        <f>E201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00">
        <f>E201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01">
        <f>E202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02">
        <v>33885060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03">
        <f>E204+E212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04">
        <f>E205+E208+E210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05">
        <f>E206+E207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06">
        <v>7734792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07">
        <v>206423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08">
        <f>E209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09">
        <v>206423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10">
        <f>E211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11">
        <v>206423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12">
        <f>E213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13">
        <f>E214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14">
        <v>244938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15">
        <f>E216+E227</f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16">
        <f>E218+E223+E226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17">
        <f>E218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18">
        <f>E219+E220+E221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19">
        <v>11293823.52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20">
        <v>291000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21">
        <v>3410734.7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22">
        <f>E223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23">
        <f>E224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24">
        <v>700000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25">
        <f>E226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26">
        <v>10000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27">
        <f>E229+E232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28">
        <f>E229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29">
        <f>E230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30">
        <v>112200</v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31">
        <f>E232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32">
        <f>E233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33">
        <v>173500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34">
        <f>E239+E243+E235</f>
      </nc>
      <ndxf>
        <font>
          <b/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</border>
      </ndxf>
    </rcc>
    <rcc rId="0" sId="1" s="1" dxf="1">
      <nc r="E235">
        <f>E236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</border>
      </ndxf>
    </rcc>
    <rcc rId="0" sId="1" s="1" dxf="1">
      <nc r="E236">
        <f>E237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</border>
      </ndxf>
    </rcc>
    <rcc rId="0" sId="1" s="1" dxf="1">
      <nc r="E237">
        <f>E238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</border>
      </ndxf>
    </rcc>
    <rcc rId="0" sId="1" s="1" dxf="1" numFmtId="34">
      <nc r="E238">
        <v>12419102.119999999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</border>
      </ndxf>
    </rcc>
    <rcc rId="0" sId="1" s="1" dxf="1">
      <nc r="E239">
        <f>E241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40">
        <f>E241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41">
        <f>E242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42">
        <v>3766729.48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43">
        <f>E245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44">
        <f>E245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45">
        <f>E246+E247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46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47">
        <v>1593100</v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48">
        <f>E249+E261+E265+E269+E274+E281+E257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49">
        <f>E250+E254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50">
        <f>E251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51">
        <f>E253+E252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252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 numFmtId="34">
      <nc r="E253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54">
        <f>E255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55">
        <f>E256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256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257">
        <f>E258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58">
        <f>E259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59">
        <f>E260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60">
        <v>1751800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61">
        <f>E262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62">
        <f>E263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63">
        <f>E264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64">
        <v>6250000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65">
        <f>E266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66">
        <f>E267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67">
        <f>E268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68">
        <v>350000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69">
        <f>E270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70">
        <f>E271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71">
        <f>E272+E273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72">
        <v>3545000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73">
        <v>12840203.869999999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74">
        <f>E275+E278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75">
        <f>E276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76">
        <f>E277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77">
        <v>5977090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78">
        <f>E279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79">
        <f>E280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280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281">
        <f>E282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82">
        <f>E283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83">
        <f>E284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84">
        <v>860030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85">
        <f>E286+E291+E306+E311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86">
        <f>E287</f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87">
        <f>E289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88">
        <f>E289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89">
        <f>E290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90">
        <v>35000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91">
        <f>E292+E300+E296</f>
      </nc>
      <ndxf>
        <font>
          <b/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92">
        <f>E293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93">
        <f>E294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94">
        <f>E295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95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96">
        <f>E297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97">
        <f>E298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98">
        <f>E299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299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300">
        <f>E301+E304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01">
        <f>E302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02">
        <f>E303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03">
        <v>1150000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04">
        <f>E305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05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06">
        <f>E310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07">
        <f>E309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08">
        <f>E309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09">
        <f>E310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10">
        <v>76900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11">
        <f>E319+E312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12">
        <f>E313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13">
        <f>E314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14">
        <f>E315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315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316">
        <f>E318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17">
        <f>E318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18">
        <f>E319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19">
        <v>365000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20">
        <f>E321+E339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21">
        <f>E322+E335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22">
        <f>E323+E326+E330+E333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23">
        <f>E324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24">
        <f>E325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25">
        <v>563800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26">
        <f>E327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27">
        <f>E328+E329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28">
        <v>1194300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29">
        <v>287400</v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30">
        <f>E331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31">
        <f>E332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32">
        <v>1552000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33">
        <f>E334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334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335">
        <f>E336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36">
        <f>E337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37">
        <f>E338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38">
        <v>500000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39">
        <f>E343+E362+E346+E354+E350+E340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40">
        <f>E341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41">
        <f>E342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342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343">
        <f>E344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44">
        <f>E345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45">
        <v>257000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46">
        <f>E347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47">
        <f>E348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48">
        <f>E349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49">
        <v>110000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50">
        <f>E351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51">
        <f>E352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52">
        <f>E353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353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354">
        <f>E359+E355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55">
        <f>E356+E357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56">
        <f>E357+E358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357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358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359">
        <f>E360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60">
        <f>E361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36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362">
        <f>E363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63">
        <f>E364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64">
        <f>E365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65">
        <v>171912.17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66">
        <f>E367+E371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67">
        <f>E368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68">
        <f>E369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69">
        <f>E370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70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71">
        <f>E372+E375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72">
        <f>E373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73">
        <f>E374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374" start="0" length="0">
      <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375">
        <f>E376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76">
        <v>3297313.48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77">
        <f>E378+E387+E392+E396+E382+E400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378" start="0" length="0">
      <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379" start="0" length="0">
      <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380" start="0" length="0">
      <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 numFmtId="34">
      <nc r="E381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82">
        <f>E383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83">
        <f>E384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84">
        <f>E386+E385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385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386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387">
        <f>E389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88">
        <f>E389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89">
        <f>E391+E390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90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91">
        <v>1253986.27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92">
        <f>E393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93">
        <f>E394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94">
        <f>E395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95">
        <v>0</v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96">
        <f>E397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97">
        <f>E398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98">
        <f>E399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99">
        <v>0</v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00">
        <f>E401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01">
        <f>E402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02">
        <f>E403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403" start="0" length="0">
      <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404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405">
        <f>E406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06">
        <f>E408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07">
        <f>SUM(E408)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08">
        <f>SUM(E409)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09">
        <v>35000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10">
        <f>E411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11">
        <f>E412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12">
        <f>E413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13">
        <f>E414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14">
        <f>E415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415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416">
        <f>E417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17">
        <f>E418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18">
        <f>E419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19">
        <f>E420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20">
        <f>E421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21">
        <v>45000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22">
        <f>E423+E445+E470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23">
        <f>E424+E433+E437+E429+E441</f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24">
        <f>E426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25">
        <f>E426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26">
        <f>E427+E428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27">
        <v>15756390.139999999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28">
        <v>275755.99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29">
        <f>E430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30">
        <f>E431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31">
        <f>E432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32">
        <v>234666.55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33">
        <f>E434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34">
        <f>E435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35">
        <f>E436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36">
        <v>874944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37">
        <f>E438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38">
        <f>E439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39">
        <f>E440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40">
        <v>162108.17000000001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41">
        <f>E442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42">
        <f>E443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43">
        <f>E444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444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445">
        <f>E446+E451+E455+E466+E462</f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46">
        <f>E447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47">
        <f>E448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48">
        <f>E449+E450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49">
        <v>37211538.640000001</v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50">
        <v>320925.05</v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51">
        <f>E452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52">
        <f>E453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53">
        <f>E454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54">
        <v>681596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55">
        <f>E457+E459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56">
        <f>E457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57">
        <f>E458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58">
        <v>1088600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59">
        <f>E460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60">
        <f>E461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46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462">
        <f>E463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63">
        <f>E464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64">
        <f>E465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65">
        <f>772411+11027428.16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66">
        <f>E467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67">
        <f>E468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68">
        <f>E469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69">
        <v>50000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70">
        <f>E471+E482</f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71">
        <f>E472+E477+E480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72">
        <f>E473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73">
        <f>E474+E475+E476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74">
        <v>4049967.12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75">
        <v>100000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76">
        <v>1223090.07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77">
        <f>E478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78">
        <f>E479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79">
        <v>371662.7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80">
        <f>E481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81">
        <v>15000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82">
        <f>E483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83">
        <f>E484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84">
        <f>E485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85">
        <v>92549.47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86">
        <f>E487+E491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87">
        <f>E489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88">
        <f>E489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89">
        <f>E490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90">
        <v>756000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91">
        <f>E492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92">
        <f>E493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93">
        <f>E494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494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495">
        <f>E496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96">
        <f>E498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97">
        <f>E498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98">
        <f>E499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99">
        <v>30000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00">
        <f>E501+E510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01">
        <f>E502+E508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02">
        <f>E503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03">
        <f>E504+E506+E505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04">
        <v>630212.82999999996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05">
        <v>20000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06">
        <v>190324.28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07">
        <f>E508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508">
        <f>E509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 numFmtId="34">
      <nc r="E509">
        <v>70000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510">
        <f>E511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11">
        <f>E512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12">
        <f>E513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13">
        <v>9000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14">
        <f>E526+E515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15">
        <f>E516+E521+E524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16">
        <f>E517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17">
        <f>E518+E519+E520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18">
        <v>3231247.8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19">
        <v>80000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20">
        <v>975836.84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21">
        <f>E522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22">
        <f>E523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23">
        <v>83700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24">
        <f>E525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525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526">
        <f>E528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27">
        <f>E528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28">
        <f>E529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29">
        <v>36300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530">
        <f>E547+E531+E539+E543+E535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31">
        <f>E532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32">
        <f>E533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33">
        <f>E534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534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535">
        <f>E536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36">
        <f>E537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37">
        <f>E538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538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539">
        <f>E540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40">
        <f>E541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41">
        <f>E542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42">
        <v>20461.62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43">
        <f>E544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44">
        <f>E545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45">
        <f>E546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46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47">
        <f>E548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48">
        <f>E549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49">
        <f>E550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50">
        <f>E551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55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552">
        <f>E553+E557+E562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53">
        <f>E554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54">
        <f>E555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55">
        <f>E556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56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57">
        <f>E558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58">
        <f>E559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59">
        <f>E560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60">
        <f>E561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56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562">
        <f>E563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63">
        <f>E564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64">
        <f>E565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565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566">
        <f>E567+E571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67">
        <f>E568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68">
        <f>E569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69">
        <f>E570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70">
        <v>355485.97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71">
        <f>E572+E579+E586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72">
        <f>E577+E573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73">
        <f>E574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74">
        <f>E575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75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76">
        <f>E577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77">
        <f>E578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78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79">
        <f>E584+E580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80">
        <f>E581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81">
        <f>E582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82">
        <v>0</v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83">
        <f>E584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84">
        <f>E585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85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86">
        <f>E588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87">
        <f>E588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88">
        <f>E589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89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90">
        <f>E591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91">
        <f>E592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92">
        <f>E593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93">
        <f>E594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94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95">
        <f>E596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96">
        <f>E598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97">
        <f>E598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98">
        <f>E599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4">
      <nc r="E599">
        <v>75000</v>
      </nc>
      <ndxf>
        <font>
          <sz val="1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00">
        <f>E601+E619</f>
      </nc>
      <ndxf>
        <font>
          <b/>
          <i/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E601">
        <f>E602+E614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02">
        <f>E603+E608+E611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03">
        <f>E604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04">
        <f>E605+E606+E607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4">
      <nc r="E605">
        <v>11583650.4</v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4">
      <nc r="E606">
        <v>311400</v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4">
      <nc r="E607">
        <v>3498262.42</v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08">
        <f>E609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09">
        <f>E610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4">
      <nc r="E610">
        <v>940800</v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1">
        <f>E612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2">
        <f>E613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4">
      <nc r="E613">
        <v>150000</v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4">
        <f>E615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5">
        <f>E616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6">
        <f>E617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4">
      <nc r="E617">
        <v>1069200</v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8">
        <f>E619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9">
        <f>E620</f>
      </nc>
      <ndxf>
        <font>
          <sz val="1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20">
        <f>E621</f>
      </nc>
      <ndxf>
        <font>
          <sz val="1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4">
      <nc r="E621">
        <v>20150000</v>
      </nc>
      <ndxf>
        <font>
          <sz val="1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22">
        <f>E623+E631+E627</f>
      </nc>
      <ndxf>
        <font>
          <b/>
          <i/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23">
        <f>E624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24">
        <f>E625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25">
        <f>E626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4">
      <nc r="E626">
        <v>1315800</v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27">
        <f>E628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28">
        <f>E629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29">
        <f>E630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630" start="0" length="0">
      <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631">
        <f>E632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32">
        <f>E633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33">
        <f>E634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4">
      <nc r="E634">
        <v>100000</v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635" start="0" length="0">
      <dxf>
        <font>
          <sz val="11"/>
          <name val="Times New Roman"/>
          <scheme val="none"/>
        </font>
      </dxf>
    </rfmt>
    <rcc rId="0" sId="1" s="1" dxf="1">
      <nc r="E636">
        <f>E637+E642+E660+E677+E726+E741+E751+E763+E768+E845+E882+E896+E906+E914+E835+E943</f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37">
        <f>E638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38">
        <f>E639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39">
        <f>E640+E641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40">
        <v>2421459.6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41">
        <v>731280.8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42">
        <f>E643+E649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43">
        <f>E644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644">
        <f>E646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45">
        <f>E646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46">
        <f>E647+E648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47">
        <v>1937163.6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48">
        <v>585023.41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49">
        <f>E650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50">
        <f>E652+E658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51">
        <f>E652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52">
        <f>E653+E654+E656+E655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53">
        <v>3523917.93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54">
        <v>194080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55">
        <v>80000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56">
        <v>1064223.21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57">
        <f>E658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58">
        <f>E659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59">
        <v>457078.15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60">
        <f>E661+E667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61">
        <f>E662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62">
        <f>E664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63">
        <f>E664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64">
        <f>E665+E666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65">
        <v>886257.6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66">
        <v>267649.8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67">
        <f>E668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68">
        <f>E670+E675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69">
        <f>E670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70">
        <f>E671+E672+E673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71">
        <v>662217.15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72">
        <v>46000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73">
        <v>199989.58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74">
        <f>E675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75">
        <f>E676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76">
        <v>53200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77">
        <f>E678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78">
        <f>E710+E687+E679+E683+E706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79">
        <f>E681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80">
        <f>E681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81">
        <f>E682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82">
        <v>5385.9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83">
        <f>E684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684">
        <f>E685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685">
        <f>E686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 numFmtId="34">
      <nc r="E686">
        <v>28000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687">
        <f>E688+E697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688">
        <f>E690+E694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689">
        <f>E690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90">
        <f>E691+E693+E692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91">
        <v>1260425.6599999999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92">
        <v>40000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93">
        <v>380648.55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94">
        <f>SUM(E695)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95">
        <f>SUM(E696)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96">
        <v>140000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97">
        <f>E698+E703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698">
        <f>E699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99">
        <f>E700+E702+E701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00">
        <v>630212.82999999996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01">
        <v>20000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02">
        <v>190324.28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03">
        <f>SUM(E704)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04">
        <f>SUM(E705)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05">
        <v>175000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06">
        <f>E707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07">
        <f>E708+E709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708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709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710">
        <f>E711+E717+E722+E719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11">
        <f>E712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12">
        <f>E713+E714+E715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13">
        <f>72596636.05+22381352.55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14">
        <f>1800000+418000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15">
        <f>21924184.09+6759168.47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16">
        <f>E717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17">
        <f>E718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18">
        <f>6278755.37+2129000+150000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19">
        <f>E720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20">
        <f>E721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72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722">
        <f>E725+E723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23">
        <f>E724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24">
        <v>400000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25">
        <f>600000+5000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26">
        <f>SUM(E733)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27">
        <f>E728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28">
        <f>E729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29">
        <f>E730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30">
        <f>E732+E731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73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732" start="0" length="0">
      <dxf>
        <font>
          <b/>
          <i/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733">
        <f>E734+E739+E736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34">
        <f>E735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35">
        <v>1000000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36">
        <f>E737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37">
        <f>E738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738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739">
        <f>E740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40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41">
        <f>E742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42">
        <f>E743+E748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43">
        <f>E744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44">
        <f>E745+E747+E746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45">
        <v>2310476.25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46">
        <v>80000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47">
        <v>697155.35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48">
        <f>E749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49">
        <f>E750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50">
        <v>109701.55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51">
        <f>SUM(E752,E756)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52">
        <f>E754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53">
        <f>E754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54">
        <f>E755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55">
        <v>700000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56">
        <f>E762+E757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57">
        <f>E758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58">
        <f>E759+E760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59">
        <v>421300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60">
        <v>1748744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61">
        <f>E762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62">
        <v>124100</v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63">
        <f>SUM(E764)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64">
        <f>E767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</border>
      </ndxf>
    </rcc>
    <rcc rId="0" sId="1" s="1" dxf="1">
      <nc r="E765">
        <f>E766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66">
        <f>E767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67">
        <v>2532132.8199999998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68">
        <f>E769+E777+E773+E802+E831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69">
        <f>E770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70">
        <f>E771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71">
        <f>E772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72">
        <v>0</v>
      </nc>
      <ndxf>
        <font>
          <b/>
          <i/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73">
        <f>E775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74">
        <f>E775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75">
        <f>E776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76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77">
        <f>E778+E786+E790+E815+E807+E811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78">
        <f>E779+E783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79">
        <f>E780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80">
        <f>E781+E782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81">
        <v>3300000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82">
        <v>1364080.87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83">
        <f>E784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84">
        <f>E785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85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86">
        <f>E787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87">
        <f>E788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88">
        <f>E789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89">
        <v>11005600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90">
        <f>E791+E799+E796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91">
        <f>E792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92">
        <f>E794+E795+E793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93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94">
        <f>1341897+730000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95">
        <v>2085399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96">
        <f>E797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97">
        <f>E798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 numFmtId="34">
      <nc r="E798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99">
        <f>E800+E801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800">
        <v>20000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 numFmtId="34">
      <nc r="E801">
        <v>93421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02">
        <f>E803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03">
        <f>E804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04">
        <f>E806+E805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fmt sheetId="1" s="1" sqref="E805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 numFmtId="34">
      <nc r="E806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07">
        <f>E808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08">
        <f>E809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09">
        <f>E810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810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811">
        <f>E812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12">
        <f>E813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13">
        <f>E814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814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815">
        <f>E816+E819+E823+E827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16">
        <f>E817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17">
        <f>E818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818">
        <v>1010000</v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19">
        <f>E820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20">
        <f>E821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21">
        <f>E822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822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823">
        <f>E824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24">
        <f>E825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25">
        <f>E826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826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827">
        <f>E828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28">
        <f>E829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29">
        <f>E830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830">
        <v>2340000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31">
        <f>E832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32">
        <f>E833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33">
        <f>E834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834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835">
        <f>E836</f>
      </nc>
      <ndxf>
        <font>
          <b/>
          <i/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36">
        <f>E841+E837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37">
        <f>E838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38">
        <f>E839+E840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839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40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841">
        <f>E842+E844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42">
        <f>E843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843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44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845">
        <f>E846+E862+E867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46">
        <f>E851+E858+E847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47">
        <f>E848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48">
        <f>E849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49">
        <f>E850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 numFmtId="34">
      <nc r="E850">
        <v>3383534.85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51">
        <f>E855+E852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52">
        <f>E853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53">
        <f>E854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fmt sheetId="1" s="1" sqref="E854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E855">
        <f>E857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56">
        <f>E857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 numFmtId="34">
      <nc r="E857">
        <v>2683652.1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58">
        <f>E859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59">
        <f>E861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60">
        <f>E861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 numFmtId="34">
      <nc r="E861">
        <v>5111780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62">
        <f>SUM(E863)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63">
        <f>E864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64">
        <f>E865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65">
        <f>E866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866">
        <v>510676.35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67">
        <f>E869+E878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68">
        <f>E869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69">
        <f>E871+E876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70">
        <f>E871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71">
        <f>E872+E873+E874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872">
        <v>5041702.6500000004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873">
        <v>160000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874">
        <v>1522594.2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75">
        <f>E876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76">
        <f>E877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877">
        <v>560000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78">
        <f>E880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79">
        <f>E880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80">
        <f>E881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881">
        <v>112882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82">
        <f>E883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83">
        <f>E884+E889+E894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84">
        <f>E885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85">
        <f>E886+E887+E888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 numFmtId="34">
      <nc r="E886">
        <v>10934655.529999999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 numFmtId="34">
      <nc r="E887">
        <v>100000</v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888">
        <v>3302265.97</v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89">
        <f>E890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90">
        <f>E892+E893+E891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891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 numFmtId="34">
      <nc r="E892">
        <v>6215375.5300000003</v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893">
        <v>7209745.7300000004</v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94">
        <f>E895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895">
        <v>77500</v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96">
        <f>E898+E900+E903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97">
        <f>E898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98">
        <f>E899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899">
        <v>75000</v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00">
        <f>E901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01">
        <f>E902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902">
        <v>50000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03">
        <f>E904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04">
        <f>E905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905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06">
        <f>E907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07">
        <f>E908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08">
        <f>E909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09">
        <f>E910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10">
        <f>E911+E912+E913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911">
        <v>4259707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912">
        <v>100000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913">
        <v>1286431.51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14">
        <f>E923+E933+E915</f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15">
        <f>E920+E916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16">
        <f>E917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17">
        <f>E919+E918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918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919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920">
        <f>E921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21">
        <f>E922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922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923">
        <f>E931+E928+E924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24">
        <f>E925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25">
        <f>E927+E926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926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927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928">
        <f>E929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29">
        <f>E930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930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931">
        <f>E932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932">
        <v>0</v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33">
        <f>E941+E938+E934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34">
        <f>E935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35">
        <f>E937+E936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936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937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938">
        <f>E939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39">
        <f>E940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940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941">
        <f>E942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942">
        <v>0</v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43">
        <f>E944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44">
        <f>E945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45">
        <f>E946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46">
        <f>E947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947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948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949">
        <f>16629257.6-97936.02-3000000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950" start="0" length="0">
      <dxf>
        <font>
          <sz val="11"/>
          <name val="Times New Roman"/>
          <scheme val="none"/>
        </font>
      </dxf>
    </rfmt>
    <rcc rId="0" sId="1" s="1" dxf="1">
      <nc r="E951">
        <f>E17+E636+E949</f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952" start="0" length="0">
      <dxf>
        <font>
          <sz val="11"/>
          <name val="Times New Roman"/>
          <scheme val="none"/>
        </font>
      </dxf>
    </rfmt>
    <rfmt sheetId="1" sqref="E954" start="0" length="0">
      <dxf>
        <font>
          <sz val="11"/>
          <name val="Times New Roman"/>
          <scheme val="none"/>
        </font>
      </dxf>
    </rfmt>
    <rfmt sheetId="1" sqref="E955" start="0" length="0">
      <dxf>
        <font>
          <sz val="11"/>
          <name val="Times New Roman"/>
          <scheme val="none"/>
        </font>
      </dxf>
    </rfmt>
    <rfmt sheetId="1" sqref="E957" start="0" length="0">
      <dxf>
        <font>
          <sz val="11"/>
          <name val="Times New Roman"/>
          <scheme val="none"/>
        </font>
      </dxf>
    </rfmt>
    <rfmt sheetId="1" sqref="E958" start="0" length="0">
      <dxf>
        <font>
          <sz val="11"/>
          <name val="Times New Roman"/>
          <scheme val="none"/>
        </font>
      </dxf>
    </rfmt>
    <rfmt sheetId="1" sqref="E959" start="0" length="0">
      <dxf>
        <font>
          <sz val="11"/>
          <name val="Times New Roman"/>
          <scheme val="none"/>
        </font>
      </dxf>
    </rfmt>
  </rrc>
  <rrc rId="5844" sId="1" ref="E1:E1048576" action="deleteCol">
    <undo index="0" exp="area" ref3D="1" dr="$A$1:$E$951" dn="Область_печати" sId="1"/>
    <undo index="0" exp="area" ref3D="1" dr="$A$1:$E$951" dn="Z_D9B90A86_BE39_4FED_8226_084809D277F3_.wvu.PrintArea" sId="1"/>
    <undo index="0" exp="area" ref3D="1" dr="$A$15:$E$394" dn="Z_B6A6CD91_8C02_4179_BDF9_26B76D8F7736_.wvu.FilterData" sId="1"/>
    <undo index="0" exp="area" ref3D="1" dr="$A$1:$E$951" dn="Z_A9343E6B_D859_48A0_829D_4F2D36478972_.wvu.PrintArea" sId="1"/>
    <undo index="0" exp="area" ref3D="1" dr="$A$1:$E$951" dn="Z_9A752CC5_36AC_48BE_BF4B_1A38C4015906_.wvu.PrintArea" sId="1"/>
    <undo index="0" exp="area" ref3D="1" dr="$A$15:$E$394" dn="Z_422E0643_716B_47E7_AE88_81F462B78F5E_.wvu.FilterData" sId="1"/>
    <undo index="0" exp="area" ref3D="1" dr="$A$1:$E$951" dn="Z_547FB17C_1FA3_4D81_B22A_42218056849D_.wvu.PrintArea" sId="1"/>
    <undo index="0" exp="area" ref3D="1" dr="$A$1:$E$951" dn="Z_30E81E54_DD45_4653_9DCD_548F6723F554_.wvu.PrintArea" sId="1"/>
    <undo index="0" exp="area" ref3D="1" dr="$A$311:$XFD$319" dn="Z_30E81E54_DD45_4653_9DCD_548F6723F554_.wvu.Rows" sId="1"/>
    <rfmt sheetId="1" xfDxf="1" sqref="E1:E1048576" start="0" length="0">
      <dxf>
        <font>
          <sz val="1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alignment vertical="center" readingOrder="0"/>
      </dxf>
    </rfmt>
    <rcc rId="0" sId="1" s="1" dxf="1">
      <nc r="E1" t="inlineStr">
        <is>
          <t xml:space="preserve"> Приложение № 5</t>
        </is>
      </nc>
      <ndxf>
        <font>
          <sz val="10"/>
          <color auto="1"/>
          <name val="Times New Roman"/>
          <scheme val="none"/>
        </font>
        <numFmt numFmtId="0" formatCode="General"/>
        <alignment horizontal="right" readingOrder="0"/>
      </ndxf>
    </rcc>
    <rcc rId="0" sId="1" dxf="1">
      <nc r="E2" t="inlineStr">
        <is>
          <t>к решению собрания депутатов</t>
        </is>
      </nc>
      <ndxf>
        <font>
          <sz val="11"/>
          <name val="Times New Roman"/>
          <scheme val="none"/>
        </font>
        <alignment horizontal="right" readingOrder="0"/>
      </ndxf>
    </rcc>
    <rcc rId="0" sId="1" dxf="1">
      <nc r="E3" t="inlineStr">
        <is>
          <t>Плесецкого муниципального округа Архангельской области</t>
        </is>
      </nc>
      <ndxf>
        <font>
          <sz val="11"/>
          <name val="Times New Roman"/>
          <scheme val="none"/>
        </font>
        <alignment horizontal="right" readingOrder="0"/>
      </ndxf>
    </rcc>
    <rcc rId="0" sId="1" dxf="1">
      <nc r="E4" t="inlineStr">
        <is>
          <t xml:space="preserve">от  17   декабря 2024 года №  242 </t>
        </is>
      </nc>
      <ndxf>
        <font>
          <sz val="11"/>
          <name val="Times New Roman"/>
          <scheme val="none"/>
        </font>
        <alignment horizontal="right" readingOrder="0"/>
      </ndxf>
    </rcc>
    <rfmt sheetId="1" sqref="E5" start="0" length="0">
      <dxf>
        <font>
          <sz val="11"/>
          <name val="Times New Roman"/>
          <scheme val="none"/>
        </font>
      </dxf>
    </rfmt>
    <rcc rId="0" sId="1" s="1" dxf="1">
      <nc r="E6" t="inlineStr">
        <is>
          <t xml:space="preserve"> Приложение № 5</t>
        </is>
      </nc>
      <ndxf>
        <font>
          <sz val="10"/>
          <color auto="1"/>
          <name val="Times New Roman"/>
          <scheme val="none"/>
        </font>
        <numFmt numFmtId="0" formatCode="General"/>
        <alignment horizontal="right" readingOrder="0"/>
      </ndxf>
    </rcc>
    <rcc rId="0" sId="1" dxf="1">
      <nc r="E7" t="inlineStr">
        <is>
          <t>к решению собрания депутатов</t>
        </is>
      </nc>
      <ndxf>
        <font>
          <sz val="11"/>
          <name val="Times New Roman"/>
          <scheme val="none"/>
        </font>
        <alignment horizontal="right" readingOrder="0"/>
      </ndxf>
    </rcc>
    <rcc rId="0" sId="1" dxf="1">
      <nc r="E8" t="inlineStr">
        <is>
          <t>Плесецкого муниципального округа Архангельской области</t>
        </is>
      </nc>
      <ndxf>
        <font>
          <sz val="11"/>
          <name val="Times New Roman"/>
          <scheme val="none"/>
        </font>
        <alignment horizontal="right" readingOrder="0"/>
      </ndxf>
    </rcc>
    <rcc rId="0" sId="1" dxf="1">
      <nc r="E9" t="inlineStr">
        <is>
          <t xml:space="preserve">от 19 декабря 2023 года №183 </t>
        </is>
      </nc>
      <ndxf>
        <font>
          <sz val="11"/>
          <name val="Times New Roman"/>
          <scheme val="none"/>
        </font>
        <alignment horizontal="right" readingOrder="0"/>
      </ndxf>
    </rcc>
    <rfmt sheetId="1" sqref="E10" start="0" length="0">
      <dxf>
        <font>
          <sz val="11"/>
          <name val="Times New Roman"/>
          <scheme val="none"/>
        </font>
      </dxf>
    </rfmt>
    <rfmt sheetId="1" sqref="E11" start="0" length="0">
      <dxf>
        <font>
          <sz val="11"/>
          <name val="Times New Roman"/>
          <scheme val="none"/>
        </font>
      </dxf>
    </rfmt>
    <rfmt sheetId="1" sqref="E12" start="0" length="0">
      <dxf>
        <font>
          <b/>
          <sz val="11"/>
          <name val="Times New Roman"/>
          <scheme val="none"/>
        </font>
        <numFmt numFmtId="0" formatCode="General"/>
        <alignment horizontal="center" wrapText="1" readingOrder="0"/>
      </dxf>
    </rfmt>
    <rfmt sheetId="1" sqref="E13" start="0" length="0">
      <dxf>
        <font>
          <b/>
          <sz val="11"/>
          <name val="Times New Roman"/>
          <scheme val="none"/>
        </font>
        <numFmt numFmtId="0" formatCode="General"/>
        <alignment horizontal="center" readingOrder="0"/>
      </dxf>
    </rfmt>
    <rfmt sheetId="1" sqref="E14" start="0" length="0">
      <dxf>
        <font>
          <sz val="11"/>
          <name val="Times New Roman"/>
          <scheme val="none"/>
        </font>
      </dxf>
    </rfmt>
    <rfmt sheetId="1" sqref="E15" start="0" length="0">
      <dxf>
        <font>
          <sz val="11"/>
          <name val="Times New Roman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16" t="inlineStr">
        <is>
          <t>2026 год</t>
        </is>
      </nc>
      <ndxf>
        <font>
          <sz val="11"/>
          <name val="Times New Roman"/>
          <scheme val="none"/>
        </font>
        <alignment horizont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s="1" dxf="1">
      <nc r="E17">
        <f>E39+E285+E320+E366+E377+E405+E410+E416+E422+E486+E514+E566++E590++E248+E23+E18+E595+E530+E552+E495+E500+E600+E622</f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8">
        <f>E19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9">
        <f>E21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0">
        <f>E21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1">
        <f>E22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2">
        <v>100000</v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3">
        <f>E28+E24+E32+E35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4">
        <f>E25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5">
        <f>E26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6">
        <f>E27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27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28">
        <f>E30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9">
        <f>E30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0">
        <f>E31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1">
        <f>52396600-29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2">
        <f>E33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3">
        <f>E34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4">
        <v>0</v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5">
        <f>E37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6">
        <f>E37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7">
        <f>E38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8">
        <v>0</v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9">
        <f>E40+E74+E174+E215+E234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0">
        <f>E45+E49+E65+E70+E53+E61+E57+E41</f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1">
        <f>E42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2">
        <f>E43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3">
        <f>E44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4">
        <v>2271052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5">
        <f>E47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6">
        <f>E47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7">
        <f>E48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8">
        <v>6939482.9500000002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9">
        <f>E51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0">
        <f>E51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1">
        <f>E52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2">
        <v>215799987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3">
        <f>E55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4">
        <f>E55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5">
        <f>E56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6">
        <f>7005140-1249960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7">
        <f>E58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8">
        <f>E59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9">
        <f>E60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60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61">
        <f>E62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2">
        <f>E63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3">
        <f>E64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64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65">
        <f>E67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6">
        <f>E67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7">
        <f>E68+E69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8">
        <v>67993782.450000003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9">
        <v>5074868.5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0">
        <f>E72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1">
        <f>E72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2">
        <f>E73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3">
        <v>927855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4">
        <f>E91+E95+E111+E116+E166+E170+E131+E139+E152+E143+E135+E103+E123+E161+E99+E79+E107+E83+E75+E87</f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5">
        <f>E76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6">
        <f>E77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7">
        <f>E78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78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79">
        <f>E80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0">
        <f>E81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1">
        <f>E82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82">
        <v>32424070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3">
        <f>E84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4">
        <f>E85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5">
        <f>E86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86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87">
        <f>E88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8">
        <f>E89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9">
        <f>E90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90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91">
        <f>E93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2">
        <f>E93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3">
        <f>E94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94">
        <v>29452588.66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5">
        <f>E98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6">
        <f>E97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7">
        <f>E98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98">
        <v>490352386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9">
        <f>E100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00">
        <f>E101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01">
        <f>E102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102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103">
        <f>E104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04">
        <f>E105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05">
        <f>E106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106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107">
        <f>E108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08">
        <f>E109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09">
        <f>E110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10">
        <v>1551263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11">
        <f>E113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12">
        <f>E113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13">
        <f>E114+E115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14">
        <v>130092010.89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15">
        <v>385600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16">
        <f>E121+E117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17">
        <f>E118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18">
        <f>E119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19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20">
        <f>E121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21">
        <f>E122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22">
        <v>3387420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23">
        <f>E124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24">
        <f>E125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25">
        <f>E126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126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127">
        <f>E128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28">
        <f>E129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29">
        <f>E130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130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131">
        <f>E133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32">
        <f>E133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33">
        <f>E134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34">
        <f>2114504-1057252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35">
        <f>E137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36">
        <f>E137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37">
        <f>E138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38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39">
        <f>E140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40">
        <f>E141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41">
        <f>E142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42">
        <v>303615.37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3">
        <f>E144+E148</f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44">
        <f>E145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45">
        <f>E146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46">
        <f>E147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47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48">
        <f>E149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49">
        <f>E150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50">
        <f>E151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15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152">
        <f>E153+E157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53">
        <f>E154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54">
        <f>E155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55">
        <f>E156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56">
        <v>573789.04</v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57">
        <f>E158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58">
        <f>E159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59">
        <f>E160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160" start="0" length="0">
      <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161">
        <f>E162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62">
        <f>E163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63">
        <f>E164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64">
        <f>E165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65">
        <v>5315495.72</v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66">
        <f>E168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67">
        <f>E168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68">
        <f>E169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69">
        <v>194522.62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70">
        <f>E172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71">
        <f>E172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72">
        <f>E173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73">
        <v>22550792.98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74">
        <f>E179+E183+E188+E198+E193+E175</f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75">
        <f>E176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76">
        <f>E177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77">
        <f>E178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178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179">
        <f>E181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80">
        <f>E181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81">
        <f>E182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82">
        <v>4600000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83">
        <f>E185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84">
        <f>E185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85">
        <f>E186+E187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86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87">
        <v>93511032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88">
        <f>E190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89">
        <f>E190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90">
        <f>E191+E192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91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192">
        <v>8704511.8300000001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93">
        <f>E194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94">
        <f>E195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95">
        <f>E196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96">
        <f>E197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197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198">
        <f>E199+E203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199">
        <f>E201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00">
        <f>E201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01">
        <f>E202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02">
        <v>33677095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03">
        <f>E204+E212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04">
        <f>E205+E208+E210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05">
        <f>E206+E207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06">
        <v>7707130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07">
        <v>205157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08">
        <f>E209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09">
        <v>205157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10">
        <f>E211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11">
        <v>205156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12">
        <f>E213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13">
        <f>E214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14">
        <v>243845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15">
        <f>E216+E227</f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16">
        <f>E218+E223+E226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17">
        <f>E218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18">
        <f>E219+E220+E221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19">
        <v>11293823.52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20">
        <v>291000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21">
        <v>3410734.7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22">
        <f>E223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23">
        <f>E224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24">
        <v>700000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25">
        <f>E226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26">
        <v>10000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27">
        <f>E229+E232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28">
        <f>E229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29">
        <f>E230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30">
        <v>112200</v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31">
        <f>E232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32">
        <f>E233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33">
        <v>173500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34">
        <f>E239+E243+E235</f>
      </nc>
      <ndxf>
        <font>
          <b/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</border>
      </ndxf>
    </rcc>
    <rcc rId="0" sId="1" s="1" dxf="1">
      <nc r="E235">
        <f>E236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</border>
      </ndxf>
    </rcc>
    <rcc rId="0" sId="1" s="1" dxf="1">
      <nc r="E236">
        <f>E237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</border>
      </ndxf>
    </rcc>
    <rcc rId="0" sId="1" s="1" dxf="1">
      <nc r="E237">
        <f>E238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</border>
      </ndxf>
    </rcc>
    <rfmt sheetId="1" s="1" sqref="E238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</border>
      </dxf>
    </rfmt>
    <rcc rId="0" sId="1" s="1" dxf="1">
      <nc r="E239">
        <f>E241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40">
        <f>E241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41">
        <f>E242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42">
        <v>3838366.96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43">
        <f>E245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44">
        <f>E245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45">
        <f>E246+E247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46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47">
        <v>1593100</v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48">
        <f>E249+E261+E265+E269+E274+E281+E257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49">
        <f>E250+E254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50">
        <f>E251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51">
        <f>E253+E252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252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 numFmtId="34">
      <nc r="E253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54">
        <f>E255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55">
        <f>E256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256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257">
        <f>E258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58">
        <f>E259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59">
        <f>E260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60">
        <v>1751800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61">
        <f>E262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62">
        <f>E263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63">
        <f>E264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64">
        <v>2700000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65">
        <f>E266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66">
        <f>E267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67">
        <f>E268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68">
        <v>350000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69">
        <f>E270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70">
        <f>E271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71">
        <f>E272+E273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72">
        <v>3485000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73">
        <v>12840203.869999999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74">
        <f>E275+E278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75">
        <f>E276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76">
        <f>E277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77">
        <v>5977090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78">
        <f>E279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79">
        <f>E280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280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281">
        <f>E282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82">
        <f>E283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83">
        <f>E284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84">
        <v>860030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85">
        <f>E286+E291+E306+E311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86">
        <f>E287</f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87">
        <f>E289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88">
        <f>E289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89">
        <f>E290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90">
        <v>35000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91">
        <f>E292+E300+E296</f>
      </nc>
      <ndxf>
        <font>
          <b/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92">
        <f>E293</f>
      </nc>
      <ndxf>
        <font>
          <b/>
          <i/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93">
        <f>E294</f>
      </nc>
      <ndxf>
        <font>
          <b/>
          <i/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94">
        <f>E295</f>
      </nc>
      <ndxf>
        <font>
          <b/>
          <i/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295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96">
        <f>E297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97">
        <f>E298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298">
        <f>E299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299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300">
        <f>E301+E304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01">
        <f>E302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02">
        <f>E303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03">
        <v>1150000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04">
        <f>E305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05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06">
        <f>E310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07">
        <f>E309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08">
        <f>E309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09">
        <f>E310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10">
        <v>76900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11">
        <f>E319+E312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12">
        <f>E313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13">
        <f>E314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14">
        <f>E315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315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316">
        <f>E318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17">
        <f>E318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18">
        <f>E319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19">
        <v>365000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20">
        <f>E321+E339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21">
        <f>E322+E335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22">
        <f>E323+E326+E330+E333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23">
        <f>E324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24">
        <f>E325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25">
        <v>563800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26">
        <f>E327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27">
        <f>E328+E329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28">
        <v>1194300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29">
        <v>287400</v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30">
        <f>E331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31">
        <f>E332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32">
        <v>1552000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33">
        <f>E334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334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335">
        <f>E336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36">
        <f>E337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37">
        <f>E338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38">
        <v>500000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39">
        <f>E343+E362+E346+E354+E350+E340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40">
        <f>E341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41">
        <f>E342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342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343">
        <f>E344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44">
        <f>E345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45">
        <v>257000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46">
        <f>E347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47">
        <f>E348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48">
        <f>E349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49">
        <v>110000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50">
        <f>E351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51">
        <f>E352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52">
        <f>E353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353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354">
        <f>E359+E355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55">
        <f>E356+E357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56">
        <f>E357+E358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357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358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359">
        <f>E360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60">
        <f>E361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36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362">
        <f>E363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63">
        <f>E364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64">
        <f>E365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65">
        <v>171912.17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66">
        <f>E367+E371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67">
        <f>E368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68">
        <f>E369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69">
        <f>E370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70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71">
        <f>E372+E375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72">
        <f>E373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73">
        <f>E374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374" start="0" length="0">
      <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375">
        <f>E376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76">
        <v>3297313.48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77">
        <f>E378+E387+E392+E396+E382+E400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378" start="0" length="0">
      <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379" start="0" length="0">
      <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380" start="0" length="0">
      <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 numFmtId="34">
      <nc r="E381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82">
        <f>E383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83">
        <f>E384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84">
        <f>E386+E385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385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386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387">
        <f>E389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88">
        <f>E389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89">
        <f>E391+E390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90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91">
        <v>1253986.8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92">
        <f>E393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93">
        <f>E394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94">
        <f>E395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95">
        <v>0</v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96">
        <f>E397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97">
        <f>E398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98">
        <f>E399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399">
        <v>0</v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00">
        <f>E401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01">
        <f>E402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02">
        <f>E403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403" start="0" length="0">
      <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404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405">
        <f>E406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06">
        <f>E408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07">
        <f>SUM(E408)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08">
        <f>SUM(E409)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09">
        <v>35000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10">
        <f>E411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11">
        <f>E412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12">
        <f>E413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13">
        <f>E414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14">
        <f>E415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415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416">
        <f>E417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17">
        <f>E418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18">
        <f>E419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19">
        <f>E420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20">
        <f>E421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21">
        <v>45000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22">
        <f>E423+E445+E470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23">
        <f>E424+E433+E437+E429+E441</f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24">
        <f>E426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25">
        <f>E426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26">
        <f>E427+E428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27">
        <v>16290779.119999997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28">
        <v>275755.99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29">
        <f>E430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30">
        <f>E431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31">
        <f>E432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32">
        <v>241402.04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33">
        <f>E434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34">
        <f>E435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35">
        <f>E436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36">
        <v>874944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37">
        <f>E438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38">
        <f>E439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39">
        <f>E440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40">
        <v>162108.17000000001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41">
        <f>E442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42">
        <f>E443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43">
        <f>E444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444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445">
        <f>E446+E451+E455+E466+E462</f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46">
        <f>E447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47">
        <f>E448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48">
        <f>E449+E450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49">
        <v>38473593.969999999</v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50">
        <v>320925.05</v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51">
        <f>E452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52">
        <f>E453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53">
        <f>E454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54">
        <v>681596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55">
        <f>E457+E459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56">
        <f>E457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57">
        <f>E458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58">
        <v>1088600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59">
        <f>E460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60">
        <f>E461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46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462">
        <f>E463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63">
        <f>E464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64">
        <f>E465</f>
      </nc>
      <ndxf>
        <font>
          <sz val="10"/>
          <color auto="1"/>
          <name val="Times New Roman"/>
          <scheme val="none"/>
        </font>
        <numFmt numFmtId="167" formatCode="_(* #,##0.00_);_(* \(#,##0.00\);_(* &quot;-&quot;??_);_(@_)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65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66">
        <f>E467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67">
        <f>E468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68">
        <f>E469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69">
        <v>50000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70">
        <f>E471+E482</f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71">
        <f>E472+E477+E480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72">
        <f>E473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73">
        <f>E474+E475+E476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74">
        <v>4049967.12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75">
        <v>100000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76">
        <v>1223090.07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77">
        <f>E478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78">
        <f>E479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79">
        <v>371662.7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80">
        <f>E481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81">
        <v>15000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82">
        <f>E483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83">
        <f>E484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84">
        <f>E485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85">
        <v>92549.47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86">
        <f>E487+E491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87">
        <f>E489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88">
        <f>E489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89">
        <f>E490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90">
        <v>756000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91">
        <f>E492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92">
        <f>E493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93">
        <f>E494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494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495">
        <f>E496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96">
        <f>E498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97">
        <f>E498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498">
        <f>E499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499">
        <v>30000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00">
        <f>E501+E510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01">
        <f>E502+E508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02">
        <f>E503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03">
        <f>E504+E506+E505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04">
        <v>655421.34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05">
        <v>20000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06">
        <v>197937.25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07">
        <f>E508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508">
        <f>E509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 numFmtId="34">
      <nc r="E509">
        <v>70000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510">
        <f>E511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11">
        <f>E512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12">
        <f>E513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13">
        <v>9000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14">
        <f>E526+E515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15">
        <f>E516+E521+E524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16">
        <f>E517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17">
        <f>E518+E519+E520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18">
        <v>3263560.28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19">
        <v>80000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20">
        <v>985595.21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21">
        <f>E522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22">
        <f>E523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23">
        <v>83700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24">
        <f>E525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525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526">
        <f>E528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27">
        <f>E528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28">
        <f>E529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29">
        <v>36300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530">
        <f>E547+E531+E539+E543+E535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31">
        <f>E532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32">
        <f>E533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33">
        <f>E534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534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535">
        <f>E536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36">
        <f>E537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37">
        <f>E538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538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539">
        <f>E540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40">
        <f>E541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41">
        <f>E542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42">
        <v>20461.62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43">
        <f>E544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44">
        <f>E545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45">
        <f>E546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46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47">
        <f>E548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48">
        <f>E549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49">
        <f>E550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50">
        <f>E551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55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552">
        <f>E553+E557+E562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53">
        <f>E554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54">
        <f>E555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55">
        <f>E556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56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57">
        <f>E558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58">
        <f>E559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59">
        <f>E560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60">
        <f>E561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56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562">
        <f>E563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63">
        <f>E564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64">
        <f>E565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565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566">
        <f>E567+E571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67">
        <f>E568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68">
        <f>E569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69">
        <f>E570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70">
        <v>1300000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71">
        <f>E572+E579+E586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72">
        <f>E577+E573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73">
        <f>E574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74">
        <f>E575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75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76">
        <f>E577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77">
        <f>E578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78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79">
        <f>E584+E580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80">
        <f>E581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81">
        <f>E582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82">
        <v>0</v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83">
        <f>E584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84">
        <f>E585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85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86">
        <f>E588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87">
        <f>E588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88">
        <f>E589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89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90">
        <f>E591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91">
        <f>E592</f>
      </nc>
      <ndxf>
        <font>
          <b/>
          <i/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92">
        <f>E593</f>
      </nc>
      <ndxf>
        <font>
          <b/>
          <i/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93">
        <f>E594</f>
      </nc>
      <ndxf>
        <font>
          <b/>
          <i/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594">
        <v>0</v>
      </nc>
      <ndxf>
        <font>
          <b/>
          <i/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95">
        <f>E596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96">
        <f>E598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97">
        <f>E598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598">
        <f>E599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4">
      <nc r="E599">
        <v>75000</v>
      </nc>
      <ndxf>
        <font>
          <sz val="1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00">
        <f>E601+E619</f>
      </nc>
      <ndxf>
        <font>
          <b/>
          <i/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cc rId="0" sId="1" dxf="1">
      <nc r="E601">
        <f>E602+E614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02">
        <f>E603+E608+E611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03">
        <f>E604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04">
        <f>E605+E606+E607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4">
      <nc r="E605">
        <v>11699486.9</v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4">
      <nc r="E606">
        <v>311400</v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4">
      <nc r="E607">
        <v>3533245.04</v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08">
        <f>E609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09">
        <f>E610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4">
      <nc r="E610">
        <v>940800</v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1">
        <f>E612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2">
        <f>E613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4">
      <nc r="E613">
        <v>150000</v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4">
        <f>E615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5">
        <f>E616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6">
        <f>E617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4">
      <nc r="E617">
        <v>1069200</v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8">
        <f>E619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19">
        <f>E620</f>
      </nc>
      <ndxf>
        <font>
          <sz val="1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20">
        <f>E621</f>
      </nc>
      <ndxf>
        <font>
          <sz val="1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4">
      <nc r="E621">
        <v>22840000</v>
      </nc>
      <ndxf>
        <font>
          <sz val="1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22">
        <f>E623+E631+E627</f>
      </nc>
      <ndxf>
        <font>
          <b/>
          <i/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23">
        <f>E624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24">
        <f>E625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25">
        <f>E626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4">
      <nc r="E626">
        <v>1315800</v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27">
        <f>E628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28">
        <f>E629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29">
        <f>E630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630" start="0" length="0">
      <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631">
        <f>E632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32">
        <f>E633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633">
        <f>E634</f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34">
      <nc r="E634">
        <v>100000</v>
      </nc>
      <ndxf>
        <font>
          <sz val="1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635" start="0" length="0">
      <dxf>
        <font>
          <sz val="11"/>
          <name val="Times New Roman"/>
          <scheme val="none"/>
        </font>
      </dxf>
    </rfmt>
    <rcc rId="0" sId="1" s="1" dxf="1">
      <nc r="E636">
        <f>E637+E642+E660+E677+E726+E741+E751+E763+E768+E845+E882+E896+E906+E914+E835+E943</f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37">
        <f>E638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38">
        <f>E639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39">
        <f>E640+E641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40">
        <v>2445674.2000000002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41">
        <v>738593.61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42">
        <f>E643+E649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43">
        <f>E644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644">
        <f>E646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45">
        <f>E646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46">
        <f>E647+E648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47">
        <v>1956535.24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48">
        <v>590873.64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49">
        <f>E650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50">
        <f>E652+E658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51">
        <f>E652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52">
        <f>E653+E654+E656+E655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53">
        <v>3559157.11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54">
        <v>194080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55">
        <v>80000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56">
        <v>1074865.44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57">
        <f>E658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58">
        <f>E659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59">
        <v>457078.15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60">
        <f>E661+E667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61">
        <f>E662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62">
        <f>E664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63">
        <f>E664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64">
        <f>E665+E666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65">
        <v>895120.18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66">
        <v>270326.3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67">
        <f>E668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68">
        <f>E670+E675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69">
        <f>E670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70">
        <f>E671+E672+E673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71">
        <v>668839.31999999995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72">
        <v>51400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73">
        <v>201989.48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74">
        <f>E675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75">
        <f>E676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76">
        <v>66204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77">
        <f>E678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78">
        <f>E710+E687+E679+E683+E706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79">
        <f>E681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80">
        <f>E681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81">
        <f>E682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82">
        <v>173249.40000000002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83">
        <f>E684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684">
        <f>E685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685">
        <f>E686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 numFmtId="34">
      <nc r="E686">
        <v>28000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687">
        <f>E688+E697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688">
        <f>E690+E694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689">
        <f>E690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90">
        <f>E691+E693+E692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91">
        <v>1310842.69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92">
        <v>40000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93">
        <v>395874.49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94">
        <f>SUM(E695)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95">
        <f>SUM(E696)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696">
        <v>140000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97">
        <f>E698+E703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698">
        <f>E699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699">
        <f>E700+E702+E701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00">
        <v>655421.34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01">
        <v>20000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02">
        <v>197937.25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03">
        <f>SUM(E704)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04">
        <f>SUM(E705)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05">
        <v>175000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06">
        <f>E707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07">
        <f>E708+E709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708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709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710">
        <f>E711+E717+E722+E719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11">
        <f>E712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12">
        <f>E713+E714+E715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13">
        <f>73322602.41+22605166.08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14">
        <f>1800000+418000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15">
        <f>22143425.93+6826760.15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16">
        <f>E717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17">
        <f>E718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18">
        <f>6278755.37+2129000+150000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19">
        <f>E720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20">
        <f>E721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72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722">
        <f>E725+E723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23">
        <f>E724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24">
        <v>400000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25">
        <f>600000+5000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26">
        <f>SUM(E733)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27">
        <f>E728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28">
        <f>E729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29">
        <f>E730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30">
        <f>E732+E731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731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732" start="0" length="0">
      <dxf>
        <font>
          <b/>
          <i/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733">
        <f>E734+E739+E736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34">
        <f>E735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35">
        <v>1000000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36">
        <f>E737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37">
        <f>E738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738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739">
        <f>E740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40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41">
        <f>E742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42">
        <f>E743+E748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43">
        <f>E744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44">
        <f>E745+E747+E746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45">
        <v>2538296.96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46">
        <v>80000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47">
        <v>758616.24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48">
        <f>E749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49">
        <f>E750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50">
        <v>126155.75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51">
        <f>SUM(E752,E756)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52">
        <f>E754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53">
        <f>E754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54">
        <f>E755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55">
        <v>700000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56">
        <f>E762+E757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57">
        <f>E758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58">
        <f>E759+E760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59">
        <v>421300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60">
        <v>1748744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61">
        <f>E762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62">
        <v>124100</v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63">
        <f>SUM(E764)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64">
        <f>E767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</border>
      </ndxf>
    </rcc>
    <rcc rId="0" sId="1" s="1" dxf="1">
      <nc r="E765">
        <f>E766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66">
        <f>E767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67">
        <v>2532132.8199999998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68">
        <f>E769+E777+E773+E802+E831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69">
        <f>E770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70">
        <f>E771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71">
        <f>E772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72">
        <v>0</v>
      </nc>
      <ndxf>
        <font>
          <b/>
          <i/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73">
        <f>E775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74">
        <f>E775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75">
        <f>E776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776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777">
        <f>E778+E786+E790+E815+E807+E811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78">
        <f>E779+E783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79">
        <f>E780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80">
        <f>E781+E782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81">
        <v>3300000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82">
        <v>1418644.1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83">
        <f>E784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84">
        <f>E785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85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86">
        <f>E787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87">
        <f>E788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88">
        <f>E789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89">
        <v>11005600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90">
        <f>E791+E799+E796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91">
        <f>E792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92">
        <f>E794+E795+E793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93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794">
        <f>1341897+730000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795">
        <v>2168815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96">
        <f>E797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97">
        <f>E798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 numFmtId="34">
      <nc r="E798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799">
        <f>E800+E801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800">
        <v>20000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 numFmtId="34">
      <nc r="E801">
        <v>93421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02">
        <f>E803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03">
        <f>E804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04">
        <f>E806+E805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fmt sheetId="1" s="1" sqref="E805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 numFmtId="34">
      <nc r="E806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07">
        <f>E808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08">
        <f>E809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09">
        <f>E810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810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811">
        <f>E812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12">
        <f>E813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13">
        <f>E814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814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815">
        <f>E816+E819+E823+E827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16">
        <f>E817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17">
        <f>E818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818">
        <v>1010000</v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19">
        <f>E820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20">
        <f>E821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21">
        <f>E822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822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823">
        <f>E824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24">
        <f>E825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25">
        <f>E826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826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827">
        <f>E828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28">
        <f>E829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29">
        <f>E830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830">
        <v>2340000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31">
        <f>E832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32">
        <f>E833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33">
        <f>E834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834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835">
        <f>E836</f>
      </nc>
      <ndxf>
        <font>
          <b/>
          <i/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36">
        <f>E841+E837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37">
        <f>E838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38">
        <f>E839+E840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839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40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841">
        <f>E842+E844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42">
        <f>E843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843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44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845">
        <f>E846+E862+E867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46">
        <f>E851+E858+E847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47">
        <f>E848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48">
        <f>E849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49">
        <f>E850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 numFmtId="34">
      <nc r="E850">
        <v>3411798.35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51">
        <f>E855+E852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52">
        <f>E853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53">
        <f>E854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fmt sheetId="1" s="1" sqref="E854" start="0" length="0">
      <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dxf>
    </rfmt>
    <rcc rId="0" sId="1" s="1" dxf="1">
      <nc r="E855">
        <f>E857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56">
        <f>E857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 numFmtId="34">
      <nc r="E857">
        <v>2683722.08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58">
        <f>E859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59">
        <f>E861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60">
        <f>E861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 numFmtId="34">
      <nc r="E861">
        <v>5111780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62">
        <f>SUM(E863)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63">
        <f>E864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64">
        <f>E865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65">
        <f>E866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866">
        <v>510676.35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67">
        <f>E869+E878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68">
        <f>E869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69">
        <f>E871+E876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70">
        <f>E871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71">
        <f>E872+E873+E874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872">
        <v>5243370.75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873">
        <v>160000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874">
        <v>1583497.97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75">
        <f>E876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76">
        <f>E877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877">
        <v>560000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78">
        <f>E880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79">
        <f>E880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80">
        <f>E881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881">
        <v>112882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82">
        <f>E883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83">
        <f>E884+E889+E894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84">
        <f>E885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85">
        <f>E886+E887+E888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 numFmtId="34">
      <nc r="E886">
        <v>11044002.09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 numFmtId="34">
      <nc r="E887">
        <v>100000</v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888">
        <v>3335288.63</v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89">
        <f>E890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90">
        <f>E892+E893+E891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891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 numFmtId="34">
      <nc r="E892">
        <v>6215375.5300000003</v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893">
        <v>7209745.7300000004</v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94">
        <f>E895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895">
        <v>77500</v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96">
        <f>E898+E900+E903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897">
        <f>E898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898">
        <f>E899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899">
        <v>75000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900">
        <f>E901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01">
        <f>E902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902">
        <v>50000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903">
        <f>E904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04">
        <f>E905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905">
        <v>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bottom style="thin">
            <color indexed="64"/>
          </bottom>
        </border>
      </ndxf>
    </rcc>
    <rcc rId="0" sId="1" s="1" dxf="1">
      <nc r="E906">
        <f>E907</f>
      </nc>
      <ndxf>
        <font>
          <b/>
          <i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07">
        <f>E908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08">
        <f>E909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09">
        <f>E910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10">
        <f>E911+E912+E913</f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911">
        <v>4302304.07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912">
        <v>100000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913">
        <v>1299295.83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14">
        <f>E923+E933+E915</f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15">
        <f>E920+E916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16">
        <f>E917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17">
        <f>E919+E918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918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919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920">
        <f>E921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21">
        <f>E922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922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923">
        <f>E931+E928+E924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24">
        <f>E925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25">
        <f>E927+E926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926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927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928">
        <f>E929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29">
        <f>E930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930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931">
        <f>E932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932">
        <v>0</v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33">
        <f>E941+E938+E934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34">
        <f>E935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35">
        <f>E937+E936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936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937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938">
        <f>E939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39">
        <f>E940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940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E941">
        <f>E942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 numFmtId="34">
      <nc r="E942">
        <v>0</v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43">
        <f>E944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44">
        <f>E945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45">
        <f>E946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946">
        <f>E947</f>
      </nc>
      <n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="1" sqref="E947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948" start="0" length="0">
      <dxf>
        <font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 numFmtId="34">
      <nc r="E949">
        <v>34628395.039999999</v>
      </nc>
      <ndxf>
        <font>
          <sz val="10"/>
          <color auto="1"/>
          <name val="Times New Roman"/>
          <scheme val="none"/>
        </font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950" start="0" length="0">
      <dxf>
        <font>
          <sz val="11"/>
          <name val="Times New Roman"/>
          <scheme val="none"/>
        </font>
      </dxf>
    </rfmt>
    <rcc rId="0" sId="1" s="1" dxf="1">
      <nc r="E951">
        <f>E17+E636+E949</f>
      </nc>
      <ndxf>
        <font>
          <b/>
          <sz val="10"/>
          <color auto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952" start="0" length="0">
      <dxf>
        <font>
          <sz val="11"/>
          <name val="Times New Roman"/>
          <scheme val="none"/>
        </font>
      </dxf>
    </rfmt>
    <rfmt sheetId="1" sqref="E954" start="0" length="0">
      <dxf>
        <font>
          <sz val="11"/>
          <name val="Times New Roman"/>
          <scheme val="none"/>
        </font>
      </dxf>
    </rfmt>
    <rfmt sheetId="1" sqref="E955" start="0" length="0">
      <dxf>
        <font>
          <sz val="11"/>
          <name val="Times New Roman"/>
          <scheme val="none"/>
        </font>
      </dxf>
    </rfmt>
    <rfmt sheetId="1" sqref="E957" start="0" length="0">
      <dxf>
        <font>
          <sz val="11"/>
          <name val="Times New Roman"/>
          <scheme val="none"/>
        </font>
      </dxf>
    </rfmt>
    <rfmt sheetId="1" sqref="E958" start="0" length="0">
      <dxf>
        <font>
          <sz val="11"/>
          <name val="Times New Roman"/>
          <scheme val="none"/>
        </font>
      </dxf>
    </rfmt>
    <rfmt sheetId="1" sqref="E959" start="0" length="0">
      <dxf>
        <font>
          <sz val="11"/>
          <name val="Times New Roman"/>
          <scheme val="none"/>
        </font>
      </dxf>
    </rfmt>
  </rrc>
  <rcc rId="5845" sId="1">
    <nc r="A11" t="inlineStr">
      <is>
        <t>Отчет об исполнении бюджета Плесецкого муниципального округа</t>
      </is>
    </nc>
  </rcc>
  <rcc rId="5846" sId="1">
    <oc r="A12" t="inlineStr">
      <is>
    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Плесецкого муниципального округа  на 2024 год и на плановый период 2025 и 2026 годов</t>
      </is>
    </oc>
    <nc r="A12" t="inlineStr">
      <is>
        <t>по бюджетным ассигнованиям на реализацию муниципальных программ</t>
      </is>
    </nc>
  </rcc>
  <rcc rId="5847" sId="1">
    <nc r="A13" t="inlineStr">
      <is>
        <t xml:space="preserve">муниципального округа за 2024 год </t>
      </is>
    </nc>
  </rcc>
  <rcc rId="5848" sId="1" odxf="1" dxf="1">
    <nc r="D2" t="inlineStr">
      <is>
        <t xml:space="preserve">   Приложение № 5</t>
      </is>
    </nc>
    <odxf>
      <numFmt numFmtId="164" formatCode="_-* #,##0.00_р_._-;\-* #,##0.00_р_._-;_-* &quot;-&quot;??_р_._-;_-@_-"/>
      <alignment vertical="center" readingOrder="0"/>
    </odxf>
    <ndxf>
      <numFmt numFmtId="0" formatCode="General"/>
      <alignment vertical="top" readingOrder="0"/>
    </ndxf>
  </rcc>
  <rcc rId="5849" sId="1" odxf="1" dxf="1">
    <nc r="D3" t="inlineStr">
      <is>
        <t xml:space="preserve">        к решению Собрания депутатов </t>
      </is>
    </nc>
    <odxf>
      <numFmt numFmtId="164" formatCode="_-* #,##0.00_р_._-;\-* #,##0.00_р_._-;_-* &quot;-&quot;??_р_._-;_-@_-"/>
      <alignment vertical="center" readingOrder="0"/>
    </odxf>
    <ndxf>
      <numFmt numFmtId="0" formatCode="General"/>
      <alignment vertical="top" readingOrder="0"/>
    </ndxf>
  </rcc>
  <rcc rId="5850" sId="1" odxf="1" dxf="1">
    <nc r="D4" t="inlineStr">
      <is>
        <t xml:space="preserve">       Плесецкого муниципального округа </t>
      </is>
    </nc>
    <odxf>
      <numFmt numFmtId="164" formatCode="_-* #,##0.00_р_._-;\-* #,##0.00_р_._-;_-* &quot;-&quot;??_р_._-;_-@_-"/>
      <alignment vertical="center" readingOrder="0"/>
    </odxf>
    <ndxf>
      <numFmt numFmtId="0" formatCode="General"/>
      <alignment vertical="top" readingOrder="0"/>
    </ndxf>
  </rcc>
  <rcc rId="5851" sId="1" odxf="1" dxf="1">
    <nc r="D5" t="inlineStr">
      <is>
        <t>Архангельской области</t>
      </is>
    </nc>
    <odxf>
      <numFmt numFmtId="164" formatCode="_-* #,##0.00_р_._-;\-* #,##0.00_р_._-;_-* &quot;-&quot;??_р_._-;_-@_-"/>
      <alignment horizontal="general" vertical="center" readingOrder="0"/>
    </odxf>
    <ndxf>
      <numFmt numFmtId="0" formatCode="General"/>
      <alignment horizontal="right" vertical="top" readingOrder="0"/>
    </ndxf>
  </rcc>
  <rcc rId="5852" sId="1" odxf="1" s="1" dxf="1">
    <nc r="D6" t="inlineStr">
      <is>
        <t xml:space="preserve">         от _____________ ____ года  № ____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odxf>
    <ndxf>
      <alignment vertical="bottom" readingOrder="0"/>
    </ndxf>
  </rcc>
  <rrc rId="5853" sId="1" ref="A7:XFD7" action="deleteRow">
    <undo index="0" exp="area" ref3D="1" dr="$A$311:$XFD$319" dn="Z_30E81E54_DD45_4653_9DCD_548F6723F554_.wvu.Rows" sId="1"/>
    <rfmt sheetId="1" xfDxf="1" sqref="A7:XFD7" start="0" length="0">
      <dxf>
        <font>
          <sz val="11"/>
          <name val="Times New Roman"/>
          <scheme val="none"/>
        </font>
        <alignment vertical="center" readingOrder="0"/>
      </dxf>
    </rfmt>
    <rfmt sheetId="1" s="1" sqref="A7" start="0" length="0">
      <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right" readingOrder="0"/>
      </dxf>
    </rfmt>
    <rfmt sheetId="1" s="1" sqref="B7" start="0" length="0">
      <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right" readingOrder="0"/>
      </dxf>
    </rfmt>
    <rfmt sheetId="1" sqref="C7" start="0" length="0">
      <dxf>
        <font>
          <sz val="11"/>
          <name val="Times New Roman"/>
          <scheme val="none"/>
        </font>
        <fill>
          <patternFill patternType="solid">
            <bgColor theme="0"/>
          </patternFill>
        </fill>
        <alignment horizontal="right" readingOrder="0"/>
      </dxf>
    </rfmt>
    <rfmt sheetId="1" sqref="D7" start="0" length="0">
      <dxf>
        <font>
          <sz val="1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alignment horizontal="right" readingOrder="0"/>
      </dxf>
    </rfmt>
    <rfmt sheetId="1" sqref="E7" start="0" length="0">
      <dxf>
        <fill>
          <patternFill patternType="solid">
            <bgColor theme="0"/>
          </patternFill>
        </fill>
      </dxf>
    </rfmt>
    <rfmt sheetId="1" sqref="F7" start="0" length="0">
      <dxf>
        <fill>
          <patternFill patternType="solid">
            <bgColor theme="0"/>
          </patternFill>
        </fill>
      </dxf>
    </rfmt>
    <rfmt sheetId="1" sqref="G7" start="0" length="0">
      <dxf>
        <fill>
          <patternFill patternType="solid">
            <bgColor theme="0"/>
          </patternFill>
        </fill>
      </dxf>
    </rfmt>
    <rfmt sheetId="1" sqref="H7" start="0" length="0">
      <dxf>
        <fill>
          <patternFill patternType="solid">
            <bgColor theme="0"/>
          </patternFill>
        </fill>
      </dxf>
    </rfmt>
  </rrc>
  <rrc rId="5854" sId="1" ref="A7:XFD7" action="deleteRow">
    <undo index="0" exp="area" ref3D="1" dr="$A$310:$XFD$318" dn="Z_30E81E54_DD45_4653_9DCD_548F6723F554_.wvu.Rows" sId="1"/>
    <rfmt sheetId="1" xfDxf="1" sqref="A7:XFD7" start="0" length="0">
      <dxf>
        <font>
          <sz val="11"/>
          <name val="Times New Roman"/>
          <scheme val="none"/>
        </font>
        <alignment vertical="center" readingOrder="0"/>
      </dxf>
    </rfmt>
    <rfmt sheetId="1" s="1" sqref="A7" start="0" length="0">
      <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right" wrapText="1" readingOrder="0"/>
      </dxf>
    </rfmt>
    <rfmt sheetId="1" s="1" sqref="B7" start="0" length="0">
      <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right" wrapText="1" readingOrder="0"/>
      </dxf>
    </rfmt>
    <rfmt sheetId="1" sqref="C7" start="0" length="0">
      <dxf>
        <font>
          <sz val="11"/>
          <name val="Times New Roman"/>
          <scheme val="none"/>
        </font>
        <fill>
          <patternFill patternType="solid">
            <bgColor theme="0"/>
          </patternFill>
        </fill>
        <alignment horizontal="right" readingOrder="0"/>
      </dxf>
    </rfmt>
    <rfmt sheetId="1" sqref="D7" start="0" length="0">
      <dxf>
        <font>
          <sz val="1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alignment horizontal="right" readingOrder="0"/>
      </dxf>
    </rfmt>
    <rfmt sheetId="1" sqref="E7" start="0" length="0">
      <dxf>
        <fill>
          <patternFill patternType="solid">
            <bgColor theme="0"/>
          </patternFill>
        </fill>
      </dxf>
    </rfmt>
    <rfmt sheetId="1" sqref="F7" start="0" length="0">
      <dxf>
        <fill>
          <patternFill patternType="solid">
            <bgColor theme="0"/>
          </patternFill>
        </fill>
      </dxf>
    </rfmt>
    <rfmt sheetId="1" sqref="G7" start="0" length="0">
      <dxf>
        <fill>
          <patternFill patternType="solid">
            <bgColor theme="0"/>
          </patternFill>
        </fill>
      </dxf>
    </rfmt>
    <rfmt sheetId="1" sqref="H7" start="0" length="0">
      <dxf>
        <fill>
          <patternFill patternType="solid">
            <bgColor theme="0"/>
          </patternFill>
        </fill>
      </dxf>
    </rfmt>
  </rrc>
  <rrc rId="5855" sId="1" ref="A7:XFD7" action="deleteRow">
    <undo index="0" exp="area" ref3D="1" dr="$A$309:$XFD$317" dn="Z_30E81E54_DD45_4653_9DCD_548F6723F554_.wvu.Rows" sId="1"/>
    <rfmt sheetId="1" xfDxf="1" sqref="A7:XFD7" start="0" length="0">
      <dxf>
        <font>
          <sz val="11"/>
          <name val="Times New Roman"/>
          <scheme val="none"/>
        </font>
        <alignment vertical="center" readingOrder="0"/>
      </dxf>
    </rfmt>
    <rfmt sheetId="1" s="1" sqref="A7" start="0" length="0">
      <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right" wrapText="1" readingOrder="0"/>
      </dxf>
    </rfmt>
    <rfmt sheetId="1" s="1" sqref="B7" start="0" length="0">
      <dxf>
        <font>
          <sz val="10"/>
          <color auto="1"/>
          <name val="Times New Roman"/>
          <scheme val="none"/>
        </font>
        <numFmt numFmtId="30" formatCode="@"/>
        <fill>
          <patternFill patternType="solid">
            <bgColor theme="0"/>
          </patternFill>
        </fill>
        <alignment horizontal="right" wrapText="1" readingOrder="0"/>
      </dxf>
    </rfmt>
    <rfmt sheetId="1" sqref="C7" start="0" length="0">
      <dxf>
        <font>
          <sz val="11"/>
          <name val="Times New Roman"/>
          <scheme val="none"/>
        </font>
        <fill>
          <patternFill patternType="solid">
            <bgColor theme="0"/>
          </patternFill>
        </fill>
        <alignment horizontal="right" readingOrder="0"/>
      </dxf>
    </rfmt>
    <rfmt sheetId="1" sqref="D7" start="0" length="0">
      <dxf>
        <font>
          <sz val="11"/>
          <name val="Times New Roman"/>
          <scheme val="none"/>
        </font>
        <numFmt numFmtId="164" formatCode="_-* #,##0.00_р_._-;\-* #,##0.00_р_._-;_-* &quot;-&quot;??_р_._-;_-@_-"/>
        <fill>
          <patternFill patternType="solid">
            <bgColor theme="0"/>
          </patternFill>
        </fill>
        <alignment horizontal="right" readingOrder="0"/>
      </dxf>
    </rfmt>
    <rfmt sheetId="1" sqref="E7" start="0" length="0">
      <dxf>
        <fill>
          <patternFill patternType="solid">
            <bgColor theme="0"/>
          </patternFill>
        </fill>
      </dxf>
    </rfmt>
    <rfmt sheetId="1" sqref="F7" start="0" length="0">
      <dxf>
        <fill>
          <patternFill patternType="solid">
            <bgColor theme="0"/>
          </patternFill>
        </fill>
      </dxf>
    </rfmt>
    <rfmt sheetId="1" sqref="G7" start="0" length="0">
      <dxf>
        <fill>
          <patternFill patternType="solid">
            <bgColor theme="0"/>
          </patternFill>
        </fill>
      </dxf>
    </rfmt>
    <rfmt sheetId="1" sqref="H7" start="0" length="0">
      <dxf>
        <fill>
          <patternFill patternType="solid">
            <bgColor theme="0"/>
          </patternFill>
        </fill>
      </dxf>
    </rfmt>
  </rrc>
  <rfmt sheetId="1" sqref="A14:D25">
    <dxf>
      <fill>
        <patternFill>
          <bgColor rgb="FFFFFF00"/>
        </patternFill>
      </fill>
    </dxf>
  </rfmt>
  <rcv guid="{D9B90A86-BE39-4FED-8226-084809D277F3}" action="delete"/>
  <rdn rId="0" localSheetId="1" customView="1" name="Z_D9B90A86_BE39_4FED_8226_084809D277F3_.wvu.PrintArea" hidden="1" oldHidden="1">
    <formula>'программы '!$A$1:$D$948</formula>
    <oldFormula>'программы '!$A$1:$D$948</oldFormula>
  </rdn>
  <rdn rId="0" localSheetId="1" customView="1" name="Z_D9B90A86_BE39_4FED_8226_084809D277F3_.wvu.FilterData" hidden="1" oldHidden="1">
    <formula>'программы '!$C$1:$C$956</formula>
    <oldFormula>'программы '!$C$1:$C$956</oldFormula>
  </rdn>
  <rcv guid="{D9B90A86-BE39-4FED-8226-084809D277F3}" action="add"/>
</revisions>
</file>

<file path=xl/revisions/revisionLog3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:D948">
    <dxf>
      <fill>
        <patternFill>
          <bgColor rgb="FFFFFF00"/>
        </patternFill>
      </fill>
    </dxf>
  </rfmt>
  <rfmt sheetId="1" sqref="A1:XFD19">
    <dxf>
      <fill>
        <patternFill>
          <bgColor theme="0"/>
        </patternFill>
      </fill>
    </dxf>
  </rfmt>
  <rcv guid="{D9B90A86-BE39-4FED-8226-084809D277F3}" action="delete"/>
  <rdn rId="0" localSheetId="1" customView="1" name="Z_D9B90A86_BE39_4FED_8226_084809D277F3_.wvu.PrintArea" hidden="1" oldHidden="1">
    <formula>'программы '!$A$1:$D$948</formula>
    <oldFormula>'программы '!$A$1:$D$948</oldFormula>
  </rdn>
  <rdn rId="0" localSheetId="1" customView="1" name="Z_D9B90A86_BE39_4FED_8226_084809D277F3_.wvu.FilterData" hidden="1" oldHidden="1">
    <formula>'программы '!$C$1:$C$956</formula>
    <oldFormula>'программы '!$C$1:$C$956</oldFormula>
  </rdn>
  <rcv guid="{D9B90A86-BE39-4FED-8226-084809D277F3}" action="add"/>
</revisions>
</file>

<file path=xl/revisions/revisionLog3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60" sId="1" numFmtId="34">
    <oc r="D28">
      <f>54932575.22-984473.45+1841277.9+258327.31</f>
    </oc>
    <nc r="D28">
      <v>55138455.789999999</v>
    </nc>
  </rcc>
  <rcc rId="5861" sId="1" numFmtId="34">
    <oc r="D31">
      <f>2659965.94+984473.45-1841277.9-258327.31</f>
    </oc>
    <nc r="D31">
      <v>0</v>
    </nc>
  </rcc>
  <rfmt sheetId="1" sqref="A20:XFD35">
    <dxf>
      <fill>
        <patternFill>
          <bgColor theme="0"/>
        </patternFill>
      </fill>
    </dxf>
  </rfmt>
</revisions>
</file>

<file path=xl/revisions/revisionLog3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62" sId="1" numFmtId="34">
    <oc r="D45">
      <v>20041300</v>
    </oc>
    <nc r="D45">
      <v>18972470.149999999</v>
    </nc>
  </rcc>
  <rcc rId="5863" sId="1" numFmtId="34">
    <oc r="D53">
      <v>10906367.300000001</v>
    </oc>
    <nc r="D53">
      <v>8540315.3499999996</v>
    </nc>
  </rcc>
  <rcc rId="5864" sId="1" numFmtId="34">
    <oc r="D57">
      <v>1275000</v>
    </oc>
    <nc r="D57">
      <v>1561100</v>
    </nc>
  </rcc>
  <rcc rId="5865" sId="1" numFmtId="34">
    <oc r="D61">
      <v>1198963.8799999999</v>
    </oc>
    <nc r="D61">
      <v>2198963.88</v>
    </nc>
  </rcc>
  <rcc rId="5866" sId="1" numFmtId="34">
    <oc r="D66">
      <v>5074868.5</v>
    </oc>
    <nc r="D66">
      <v>4667126.08</v>
    </nc>
  </rcc>
  <rcc rId="5867" sId="1" numFmtId="34">
    <oc r="D70">
      <f>927855+15800+216197</f>
    </oc>
    <nc r="D70">
      <v>1137284</v>
    </nc>
  </rcc>
  <rfmt sheetId="1" sqref="A30:XFD70">
    <dxf>
      <fill>
        <patternFill>
          <bgColor theme="0"/>
        </patternFill>
      </fill>
    </dxf>
  </rfmt>
</revisions>
</file>

<file path=xl/revisions/revisionLog3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68" sId="1" numFmtId="34">
    <oc r="D75">
      <v>489600</v>
    </oc>
    <nc r="D75">
      <v>422200</v>
    </nc>
  </rcc>
  <rcc rId="5869" sId="1" numFmtId="34">
    <oc r="D79">
      <v>63088896.25</v>
    </oc>
    <nc r="D79">
      <v>54754456.219999999</v>
    </nc>
  </rcc>
  <rcc rId="5870" sId="1" numFmtId="34">
    <oc r="D87">
      <v>43249804.079999998</v>
    </oc>
    <nc r="D87">
      <v>63269824.100000001</v>
    </nc>
  </rcc>
  <rcc rId="5871" sId="1" numFmtId="34">
    <oc r="D91">
      <v>38409353.030000001</v>
    </oc>
    <nc r="D91">
      <v>37805342.939999998</v>
    </nc>
  </rcc>
  <rcc rId="5872" sId="1" numFmtId="34">
    <oc r="D99">
      <v>987400</v>
    </oc>
    <nc r="D99">
      <v>1274326.05</v>
    </nc>
  </rcc>
  <rcc rId="5873" sId="1" numFmtId="34">
    <oc r="D111">
      <f>219731250.42+200000</f>
    </oc>
    <nc r="D111">
      <v>219231250.41999999</v>
    </nc>
  </rcc>
  <rcc rId="5874" sId="1" numFmtId="34">
    <oc r="D112">
      <v>385600</v>
    </oc>
    <nc r="D112">
      <v>299280.68</v>
    </nc>
  </rcc>
  <rcc rId="5875" sId="1" numFmtId="34">
    <oc r="D119">
      <f>5061539.25</f>
    </oc>
    <nc r="D119">
      <v>5023559.25</v>
    </nc>
  </rcc>
  <rcc rId="5876" sId="1" numFmtId="34">
    <oc r="D123">
      <v>2963155.95</v>
    </oc>
    <nc r="D123">
      <v>2948321.71</v>
    </nc>
  </rcc>
  <rcc rId="5877" sId="1" numFmtId="34">
    <oc r="D127">
      <v>41559.279999999999</v>
    </oc>
    <nc r="D127">
      <v>0</v>
    </nc>
  </rcc>
  <rcc rId="5878" sId="1" numFmtId="34">
    <oc r="D139">
      <v>358620.91</v>
    </oc>
    <nc r="D139">
      <v>344827.8</v>
    </nc>
  </rcc>
  <rcc rId="5879" sId="1" numFmtId="34">
    <oc r="D162">
      <v>4396968.58</v>
    </oc>
    <nc r="D162">
      <v>4030554.55</v>
    </nc>
  </rcc>
  <rcc rId="5880" sId="1" numFmtId="34">
    <oc r="D166">
      <v>177811.65</v>
    </oc>
    <nc r="D166">
      <v>100701.84</v>
    </nc>
  </rcc>
  <rcc rId="5881" sId="1" numFmtId="34">
    <oc r="D170">
      <v>22342874.969999999</v>
    </oc>
    <nc r="D170">
      <v>21895474.760000002</v>
    </nc>
  </rcc>
  <rcc rId="5882" sId="1" numFmtId="34">
    <oc r="D179">
      <v>6011500</v>
    </oc>
    <nc r="D179">
      <v>5383500</v>
    </nc>
  </rcc>
  <rcc rId="5883" sId="1" numFmtId="34">
    <oc r="D184">
      <v>83725468</v>
    </oc>
    <nc r="D184">
      <v>89322493.579999998</v>
    </nc>
  </rcc>
  <rcc rId="5884" sId="1" numFmtId="34">
    <oc r="D189">
      <f>17323745.36-120000</f>
    </oc>
    <nc r="D189">
      <v>17377499.300000001</v>
    </nc>
  </rcc>
  <rcc rId="5885" sId="1" numFmtId="34">
    <oc r="D194">
      <v>1080363.29</v>
    </oc>
    <nc r="D194">
      <v>1048483.33</v>
    </nc>
  </rcc>
  <rcc rId="5886" sId="1" numFmtId="34">
    <oc r="D199">
      <v>34114530</v>
    </oc>
    <nc r="D199">
      <v>28517504.420000002</v>
    </nc>
  </rcc>
  <rcc rId="5887" sId="1" numFmtId="34">
    <oc r="D203">
      <v>5674106</v>
    </oc>
    <nc r="D203">
      <v>5500352.0499999998</v>
    </nc>
  </rcc>
  <rcc rId="5888" sId="1" numFmtId="34">
    <oc r="D204">
      <v>207822</v>
    </oc>
    <nc r="D204">
      <v>0</v>
    </nc>
  </rcc>
  <rcc rId="5889" sId="1" numFmtId="34">
    <oc r="D206">
      <v>207821</v>
    </oc>
    <nc r="D206">
      <v>0</v>
    </nc>
  </rcc>
  <rcc rId="5890" sId="1" numFmtId="34">
    <oc r="D208">
      <v>207821</v>
    </oc>
    <nc r="D208">
      <v>0</v>
    </nc>
  </rcc>
  <rcc rId="5891" sId="1" numFmtId="34">
    <oc r="D211">
      <v>202720</v>
    </oc>
    <nc r="D211">
      <v>0</v>
    </nc>
  </rcc>
  <rcc rId="5892" sId="1" numFmtId="34">
    <oc r="D217">
      <v>290900</v>
    </oc>
    <nc r="D217">
      <v>256611.64</v>
    </nc>
  </rcc>
  <rcc rId="5893" sId="1" numFmtId="34">
    <oc r="D218">
      <v>3221781.1100000003</v>
    </oc>
    <nc r="D218">
      <v>3165591.13</v>
    </nc>
  </rcc>
  <rcc rId="5894" sId="1" numFmtId="34">
    <oc r="D223">
      <v>10000</v>
    </oc>
    <nc r="D223">
      <v>0</v>
    </nc>
  </rcc>
  <rcc rId="5895" sId="1" numFmtId="34">
    <oc r="D230">
      <v>215904.1</v>
    </oc>
    <nc r="D230">
      <v>215114.99</v>
    </nc>
  </rcc>
  <rcc rId="5896" sId="1" numFmtId="34">
    <oc r="D239">
      <v>3621001.72</v>
    </oc>
    <nc r="D239">
      <v>3443529.6</v>
    </nc>
  </rcc>
  <rcc rId="5897" sId="1" numFmtId="34">
    <oc r="D244">
      <v>1593100</v>
    </oc>
    <nc r="D244">
      <v>1560680</v>
    </nc>
  </rcc>
  <rfmt sheetId="1" sqref="A70:XFD244">
    <dxf>
      <fill>
        <patternFill>
          <bgColor theme="0"/>
        </patternFill>
      </fill>
    </dxf>
  </rfmt>
</revisions>
</file>

<file path=xl/revisions/revisionLog3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5898" sId="1" ref="A185:XFD185" action="insertRow">
    <undo index="0" exp="area" ref3D="1" dr="$A$308:$XFD$316" dn="Z_30E81E54_DD45_4653_9DCD_548F6723F554_.wvu.Rows" sId="1"/>
  </rrc>
  <rrc rId="5899" sId="1" ref="A185:XFD185" action="insertRow">
    <undo index="0" exp="area" ref3D="1" dr="$A$309:$XFD$317" dn="Z_30E81E54_DD45_4653_9DCD_548F6723F554_.wvu.Rows" sId="1"/>
  </rrc>
  <rrc rId="5900" sId="1" ref="A185:XFD185" action="insertRow">
    <undo index="0" exp="area" ref3D="1" dr="$A$310:$XFD$318" dn="Z_30E81E54_DD45_4653_9DCD_548F6723F554_.wvu.Rows" sId="1"/>
  </rrc>
  <rrc rId="5901" sId="1" ref="A185:XFD185" action="insertRow">
    <undo index="0" exp="area" ref3D="1" dr="$A$311:$XFD$319" dn="Z_30E81E54_DD45_4653_9DCD_548F6723F554_.wvu.Rows" sId="1"/>
  </rrc>
  <rcc rId="5902" sId="1">
    <nc r="B185" t="inlineStr">
      <is>
        <t>03 3 00 Э8160</t>
      </is>
    </nc>
  </rcc>
  <rcc rId="5903" sId="1">
    <nc r="B186" t="inlineStr">
      <is>
        <t>03 3 00 Э8160</t>
      </is>
    </nc>
  </rcc>
  <rcc rId="5904" sId="1">
    <nc r="B187" t="inlineStr">
      <is>
        <t>03 3 00 Э8160</t>
      </is>
    </nc>
  </rcc>
  <rcc rId="5905" sId="1">
    <nc r="B188" t="inlineStr">
      <is>
        <t>03 3 00 Э8160</t>
      </is>
    </nc>
  </rcc>
  <rcc rId="5906" sId="1" numFmtId="34">
    <nc r="C188">
      <v>612</v>
    </nc>
  </rcc>
  <rcc rId="5907" sId="1" numFmtId="34">
    <nc r="C187">
      <v>610</v>
    </nc>
  </rcc>
  <rcc rId="5908" sId="1" numFmtId="34">
    <nc r="C186">
      <v>600</v>
    </nc>
  </rcc>
  <rcc rId="5909" sId="1" xfDxf="1" dxf="1">
    <nc r="A188" t="inlineStr">
      <is>
        <t>Субсидии бюджетным учреждениям на иные цели</t>
      </is>
    </nc>
    <ndxf>
      <font>
        <name val="Times New Roman"/>
        <scheme val="none"/>
      </font>
      <numFmt numFmtId="30" formatCode="@"/>
      <fill>
        <patternFill patternType="solid">
          <bgColor theme="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910" sId="1" xfDxf="1" dxf="1">
    <nc r="A187" t="inlineStr">
      <is>
        <t>Субсидии бюджетным учреждениям</t>
      </is>
    </nc>
    <ndxf>
      <font>
        <name val="Times New Roman"/>
        <scheme val="none"/>
      </font>
      <numFmt numFmtId="30" formatCode="@"/>
      <fill>
        <patternFill patternType="solid">
          <bgColor theme="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911" sId="1">
    <nc r="A186" t="inlineStr">
      <is>
        <t>Предоставление субсидий бюджетным, автономным учреждениям и иным некоммерческим организациям</t>
      </is>
    </nc>
  </rcc>
  <rcc rId="5912" sId="1" xfDxf="1" dxf="1">
    <nc r="A185" t="inlineStr">
      <is>
        <t>Реализация мероприятий по социально-экономическому развитию муниципальных округов</t>
      </is>
    </nc>
    <ndxf>
      <font>
        <name val="Times New Roman"/>
        <scheme val="none"/>
      </font>
      <numFmt numFmtId="30" formatCode="@"/>
      <fill>
        <patternFill patternType="solid">
          <bgColor theme="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5913" sId="1">
    <nc r="D187">
      <f>D188</f>
    </nc>
  </rcc>
  <rcc rId="5914" sId="1">
    <nc r="D185">
      <f>D186</f>
    </nc>
  </rcc>
  <rcc rId="5915" sId="1">
    <nc r="D186">
      <f>D187</f>
    </nc>
  </rcc>
  <rcc rId="5916" sId="1">
    <oc r="D171">
      <f>D176+D180+D189+D199+D194+D172</f>
    </oc>
    <nc r="D171">
      <f>D176+D180+D189+D199+D194+D172+D185</f>
    </nc>
  </rcc>
  <rcc rId="5917" sId="1" numFmtId="34">
    <nc r="D188">
      <v>391870</v>
    </nc>
  </rcc>
  <rcv guid="{D9B90A86-BE39-4FED-8226-084809D277F3}" action="delete"/>
  <rdn rId="0" localSheetId="1" customView="1" name="Z_D9B90A86_BE39_4FED_8226_084809D277F3_.wvu.PrintArea" hidden="1" oldHidden="1">
    <formula>'программы '!$A$1:$D$952</formula>
    <oldFormula>'программы '!$A$1:$D$952</oldFormula>
  </rdn>
  <rdn rId="0" localSheetId="1" customView="1" name="Z_D9B90A86_BE39_4FED_8226_084809D277F3_.wvu.FilterData" hidden="1" oldHidden="1">
    <formula>'программы '!$C$1:$C$960</formula>
    <oldFormula>'программы '!$C$1:$C$960</oldFormula>
  </rdn>
  <rcv guid="{D9B90A86-BE39-4FED-8226-084809D277F3}" action="add"/>
</revisions>
</file>

<file path=xl/revisions/revisionLog3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20" sId="1" numFmtId="34">
    <oc r="D254">
      <f>10710000+2000000-2191899.42+2600000-2000000</f>
    </oc>
    <nc r="D254">
      <v>10665818.630000001</v>
    </nc>
  </rcc>
  <rcc rId="5921" sId="1" numFmtId="34">
    <oc r="D257">
      <v>2000000</v>
    </oc>
    <nc r="D257">
      <v>1998998</v>
    </nc>
  </rcc>
  <rcc rId="5922" sId="1" numFmtId="34">
    <oc r="D261">
      <v>1751800</v>
    </oc>
    <nc r="D261">
      <v>0</v>
    </nc>
  </rcc>
  <rcc rId="5923" sId="1" numFmtId="34">
    <oc r="D265">
      <v>5574310</v>
    </oc>
    <nc r="D265">
      <v>5324691.08</v>
    </nc>
  </rcc>
  <rcc rId="5924" sId="1" numFmtId="34">
    <oc r="D269">
      <f>1556305.4-42336.78</f>
    </oc>
    <nc r="D269">
      <v>1281959.92</v>
    </nc>
  </rcc>
  <rcc rId="5925" sId="1" numFmtId="34">
    <oc r="D273">
      <f>4772643.2+40062+226164.2+100000+200000+1087386+100000+91974.96</f>
    </oc>
    <nc r="D273">
      <v>6222909.3899999997</v>
    </nc>
  </rcc>
  <rcc rId="5926" sId="1" numFmtId="34">
    <oc r="D274">
      <f>12840203.87+109165.64</f>
    </oc>
    <nc r="D274">
      <v>11275056.1</v>
    </nc>
  </rcc>
  <rcc rId="5927" sId="1" numFmtId="34">
    <oc r="D278">
      <f>7881164.9-320468.9-420000</f>
    </oc>
    <nc r="D278">
      <v>6679046.2800000003</v>
    </nc>
  </rcc>
  <rcc rId="5928" sId="1" numFmtId="34">
    <oc r="D285">
      <v>3404993.22</v>
    </oc>
    <nc r="D285">
      <v>1824193.22</v>
    </nc>
  </rcc>
  <rfmt sheetId="1" sqref="A249:XFD285">
    <dxf>
      <fill>
        <patternFill>
          <bgColor theme="0"/>
        </patternFill>
      </fill>
    </dxf>
  </rfmt>
</revisions>
</file>

<file path=xl/revisions/revisionLog3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29" sId="1" numFmtId="34">
    <oc r="D296">
      <f>3000000-182684.5</f>
    </oc>
    <nc r="D296">
      <v>2814967.55</v>
    </nc>
  </rcc>
  <rcc rId="5930" sId="1" numFmtId="34">
    <oc r="D300">
      <v>1233656</v>
    </oc>
    <nc r="D300">
      <v>119367324</v>
    </nc>
  </rcc>
</revisions>
</file>

<file path=xl/revisions/revisionLog3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31" sId="1" numFmtId="34">
    <oc r="D300">
      <v>119367324</v>
    </oc>
    <nc r="D300">
      <v>1193673.24</v>
    </nc>
  </rcc>
</revisions>
</file>

<file path=xl/revisions/revisionLog3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86:XFD300">
    <dxf>
      <fill>
        <patternFill>
          <bgColor theme="0"/>
        </patternFill>
      </fill>
    </dxf>
  </rfmt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193" sId="1" ref="A723:XFD723" action="insertRow"/>
  <rrc rId="3194" sId="1" ref="A723:XFD723" action="insertRow"/>
  <rrc rId="3195" sId="1" ref="A723:XFD723" action="insertRow"/>
  <rrc rId="3196" sId="1" ref="A723:XFD723" action="insertRow"/>
  <rcc rId="3197" sId="1">
    <nc r="C726" t="inlineStr">
      <is>
        <t>414</t>
      </is>
    </nc>
  </rcc>
  <rcc rId="3198" sId="1">
    <nc r="C725" t="inlineStr">
      <is>
        <t>410</t>
      </is>
    </nc>
  </rcc>
  <rcc rId="3199" sId="1">
    <nc r="C724" t="inlineStr">
      <is>
        <t>400</t>
      </is>
    </nc>
  </rcc>
  <rcc rId="3200" sId="1" xfDxf="1" dxf="1">
    <nc r="B723" t="inlineStr">
      <is>
        <t>59 0 00 97040</t>
      </is>
    </nc>
    <ndxf>
      <font>
        <name val="Times New Roman"/>
        <scheme val="none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3201" sId="1" xfDxf="1" dxf="1">
    <nc r="B724" t="inlineStr">
      <is>
        <t>59 0 00 97040</t>
      </is>
    </nc>
    <ndxf>
      <font>
        <name val="Times New Roman"/>
        <scheme val="none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3202" sId="1" xfDxf="1" dxf="1">
    <nc r="B725" t="inlineStr">
      <is>
        <t>59 0 00 97040</t>
      </is>
    </nc>
    <ndxf>
      <font>
        <name val="Times New Roman"/>
        <scheme val="none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3203" sId="1" xfDxf="1" dxf="1">
    <nc r="B726" t="inlineStr">
      <is>
        <t>59 0 00 97040</t>
      </is>
    </nc>
    <ndxf>
      <font>
        <name val="Times New Roman"/>
        <scheme val="none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3204" sId="1" xfDxf="1" dxf="1">
    <nc r="A723" t="inlineStr">
      <is>
        <t>Расходы на модернизацию (строительство) котельных на твердом биотопливе, источником финансового обеспечения которых является специальный казначейский кредит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205" sId="1">
    <nc r="A724" t="inlineStr">
      <is>
        <t>Капитальные вложения в объекты государственной (муниципальной) собственности</t>
      </is>
    </nc>
  </rcc>
  <rcc rId="3206" sId="1" xfDxf="1" dxf="1">
    <nc r="A725" t="inlineStr">
      <is>
        <t>Бюджетные инвестиции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207" sId="1" xfDxf="1" dxf="1">
    <nc r="A726" t="inlineStr">
      <is>
        <t>Бюджетные инвестиции в объекты капитального строительства государственной (муниципальной) собственности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208" sId="1">
    <nc r="D725">
      <f>D726</f>
    </nc>
  </rcc>
  <rcc rId="3209" sId="1">
    <nc r="E725">
      <f>E726</f>
    </nc>
  </rcc>
  <rcc rId="3210" sId="1">
    <nc r="F725">
      <f>F726</f>
    </nc>
  </rcc>
  <rcc rId="3211" sId="1">
    <nc r="D724">
      <f>D725</f>
    </nc>
  </rcc>
  <rcc rId="3212" sId="1">
    <nc r="E724">
      <f>E725</f>
    </nc>
  </rcc>
  <rcc rId="3213" sId="1">
    <nc r="F724">
      <f>F725</f>
    </nc>
  </rcc>
  <rcc rId="3214" sId="1">
    <nc r="D723">
      <f>D724</f>
    </nc>
  </rcc>
  <rcc rId="3215" sId="1">
    <nc r="E723">
      <f>E724</f>
    </nc>
  </rcc>
  <rcc rId="3216" sId="1">
    <nc r="F723">
      <f>F724</f>
    </nc>
  </rcc>
  <rcc rId="3217" sId="1">
    <oc r="D678">
      <f>D679+D687+D683+D708</f>
    </oc>
    <nc r="D678">
      <f>D679+D687+D683+D708+D723</f>
    </nc>
  </rcc>
  <rcc rId="3218" sId="1">
    <oc r="E678">
      <f>E679+E687+E683</f>
    </oc>
    <nc r="E678">
      <f>E679+E687+E683+E708+E723</f>
    </nc>
  </rcc>
  <rcc rId="3219" sId="1">
    <oc r="F678">
      <f>F679+F687+F683</f>
    </oc>
    <nc r="F678">
      <f>F679+F687+F683+F708+F723</f>
    </nc>
  </rcc>
  <rfmt sheetId="1" sqref="A723:XFD726">
    <dxf>
      <fill>
        <patternFill patternType="solid">
          <bgColor theme="6" tint="0.59999389629810485"/>
        </patternFill>
      </fill>
    </dxf>
  </rfmt>
  <rcv guid="{D9B90A86-BE39-4FED-8226-084809D277F3}" action="delete"/>
  <rdn rId="0" localSheetId="1" customView="1" name="Z_D9B90A86_BE39_4FED_8226_084809D277F3_.wvu.PrintArea" hidden="1" oldHidden="1">
    <formula>'программы '!$A$1:$F$807</formula>
    <oldFormula>'программы '!$A$1:$F$807</oldFormula>
  </rdn>
  <rdn rId="0" localSheetId="1" customView="1" name="Z_D9B90A86_BE39_4FED_8226_084809D277F3_.wvu.Rows" hidden="1" oldHidden="1">
    <formula>'программы '!$272:$276</formula>
    <oldFormula>'программы '!$272:$276</oldFormula>
  </rdn>
  <rdn rId="0" localSheetId="1" customView="1" name="Z_D9B90A86_BE39_4FED_8226_084809D277F3_.wvu.FilterData" hidden="1" oldHidden="1">
    <formula>'программы '!$A$1:$A$820</formula>
    <oldFormula>'программы '!$A$1:$A$820</oldFormula>
  </rdn>
  <rcv guid="{D9B90A86-BE39-4FED-8226-084809D277F3}" action="add"/>
</revisions>
</file>

<file path=xl/revisions/revisionLog3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32" sId="1" numFmtId="34">
    <oc r="D304">
      <v>1454000</v>
    </oc>
    <nc r="D304">
      <v>1387991.91</v>
    </nc>
  </rcc>
  <rfmt sheetId="1" sqref="A301:XFD306">
    <dxf>
      <fill>
        <patternFill>
          <bgColor theme="0"/>
        </patternFill>
      </fill>
    </dxf>
  </rfmt>
</revisions>
</file>

<file path=xl/revisions/revisionLog3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33" sId="1" numFmtId="34">
    <oc r="D320">
      <v>65000</v>
    </oc>
    <nc r="D320">
      <v>60650</v>
    </nc>
  </rcc>
  <rfmt sheetId="1" sqref="A302:XFD320">
    <dxf>
      <fill>
        <patternFill>
          <bgColor theme="0"/>
        </patternFill>
      </fill>
    </dxf>
  </rfmt>
</revisions>
</file>

<file path=xl/revisions/revisionLog3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34" sId="1" numFmtId="34">
    <oc r="D326">
      <f>533800+30000</f>
    </oc>
    <nc r="D326">
      <v>488130.41</v>
    </nc>
  </rcc>
  <rcc rId="5935" sId="1" numFmtId="34">
    <oc r="D329">
      <f>626262+540263.29-648+384000-40000</f>
    </oc>
    <nc r="D329">
      <v>1250040.3700000001</v>
    </nc>
  </rcc>
  <rcc rId="5936" sId="1" numFmtId="34">
    <oc r="D330">
      <v>371174.71</v>
    </oc>
    <nc r="D330">
      <v>335156.75</v>
    </nc>
  </rcc>
  <rcc rId="5937" sId="1">
    <oc r="D366">
      <f>44632.9-44503.69</f>
    </oc>
    <nc r="D366"/>
  </rcc>
  <rfmt sheetId="1" sqref="A321:XFD366">
    <dxf>
      <fill>
        <patternFill>
          <bgColor theme="0"/>
        </patternFill>
      </fill>
    </dxf>
  </rfmt>
</revisions>
</file>

<file path=xl/revisions/revisionLog3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38" sId="1" numFmtId="34">
    <oc r="D371">
      <f>5000000+344484+87070.87+2381236.58+965247+749950-4527988.45-472011.55-1742.72+346639.75+127114.52</f>
    </oc>
    <nc r="D371">
      <v>4999031.7</v>
    </nc>
  </rcc>
  <rfmt sheetId="1" sqref="A367:XFD377">
    <dxf>
      <fill>
        <patternFill>
          <bgColor theme="0"/>
        </patternFill>
      </fill>
    </dxf>
  </rfmt>
  <rcc rId="5939" sId="1" numFmtId="34">
    <oc r="D382">
      <v>18218340.75</v>
    </oc>
    <nc r="D382">
      <v>17562367.710000001</v>
    </nc>
  </rcc>
  <rcc rId="5940" sId="1" numFmtId="34">
    <oc r="D386">
      <v>2195942.63</v>
    </oc>
    <nc r="D386">
      <v>2130064.35</v>
    </nc>
  </rcc>
  <rcc rId="5941" sId="1" numFmtId="34">
    <oc r="D387">
      <v>1399280.17</v>
    </oc>
    <nc r="D387">
      <v>773392.6</v>
    </nc>
  </rcc>
  <rcc rId="5942" sId="1" numFmtId="34">
    <oc r="D392">
      <v>1071607.95</v>
    </oc>
    <nc r="D392">
      <v>907928.17</v>
    </nc>
  </rcc>
  <rfmt sheetId="1" sqref="A378:XFD404">
    <dxf>
      <fill>
        <patternFill>
          <bgColor theme="0"/>
        </patternFill>
      </fill>
    </dxf>
  </rfmt>
  <rfmt sheetId="1" sqref="A405:XFD411">
    <dxf>
      <fill>
        <patternFill>
          <bgColor theme="0"/>
        </patternFill>
      </fill>
    </dxf>
  </rfmt>
</revisions>
</file>

<file path=xl/revisions/revisionLog3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411:XFD416">
    <dxf>
      <fill>
        <patternFill>
          <bgColor theme="0"/>
        </patternFill>
      </fill>
    </dxf>
  </rfmt>
  <rcc rId="5943" sId="1" numFmtId="34">
    <oc r="D422">
      <f>45000+20100-20100</f>
    </oc>
    <nc r="D422">
      <v>44900</v>
    </nc>
  </rcc>
</revisions>
</file>

<file path=xl/revisions/revisionLog3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44" sId="1" numFmtId="34">
    <oc r="D459">
      <v>1402864.5</v>
    </oc>
    <nc r="D459">
      <v>1347461.19</v>
    </nc>
  </rcc>
  <rcc rId="5945" sId="1" numFmtId="34">
    <oc r="D475">
      <v>5211251.75</v>
    </oc>
    <nc r="D475">
      <v>5210119.7699999996</v>
    </nc>
  </rcc>
  <rcc rId="5946" sId="1" numFmtId="34">
    <oc r="D476">
      <f>120655.72-31781.96</f>
    </oc>
    <nc r="D476">
      <v>66179.399999999994</v>
    </nc>
  </rcc>
  <rcc rId="5947" sId="1" numFmtId="34">
    <oc r="D477">
      <v>1586282.55</v>
    </oc>
    <nc r="D477">
      <v>1585313.03</v>
    </nc>
  </rcc>
  <rcc rId="5948" sId="1" numFmtId="34">
    <oc r="D480">
      <v>332996.43</v>
    </oc>
    <nc r="D480">
      <v>320016.43</v>
    </nc>
  </rcc>
  <rcc rId="5949" sId="1" numFmtId="34">
    <oc r="D482">
      <v>15000</v>
    </oc>
    <nc r="D482">
      <v>8.94</v>
    </nc>
  </rcc>
  <rcc rId="5950" sId="1" numFmtId="34">
    <oc r="D486">
      <v>92549.47</v>
    </oc>
    <nc r="D486">
      <v>76063.91</v>
    </nc>
  </rcc>
  <rfmt sheetId="1" sqref="A417:XFD486">
    <dxf>
      <fill>
        <patternFill>
          <bgColor theme="0"/>
        </patternFill>
      </fill>
    </dxf>
  </rfmt>
</revisions>
</file>

<file path=xl/revisions/revisionLog3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487:XFD495">
    <dxf>
      <fill>
        <patternFill>
          <bgColor theme="0"/>
        </patternFill>
      </fill>
    </dxf>
  </rfmt>
  <rcc rId="5951" sId="1" numFmtId="34">
    <oc r="D500">
      <v>30000</v>
    </oc>
    <nc r="D500">
      <v>29900</v>
    </nc>
  </rcc>
</revisions>
</file>

<file path=xl/revisions/revisionLog3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496:XFD500">
    <dxf>
      <fill>
        <patternFill>
          <bgColor theme="0"/>
        </patternFill>
      </fill>
    </dxf>
  </rfmt>
  <rcc rId="5952" sId="1" numFmtId="34">
    <oc r="D505">
      <v>623973.1</v>
    </oc>
    <nc r="D505">
      <v>533757.02</v>
    </nc>
  </rcc>
  <rcc rId="5953" sId="1" numFmtId="34">
    <oc r="D506">
      <v>20000</v>
    </oc>
    <nc r="D506">
      <v>6674.7</v>
    </nc>
  </rcc>
  <rcc rId="5954" sId="1" numFmtId="34">
    <oc r="D507">
      <v>188439.88</v>
    </oc>
    <nc r="D507">
      <v>156252.82</v>
    </nc>
  </rcc>
  <rfmt sheetId="1" sqref="A501:XFD514">
    <dxf>
      <fill>
        <patternFill>
          <bgColor theme="0"/>
        </patternFill>
      </fill>
    </dxf>
  </rfmt>
  <rcc rId="5955" sId="1" numFmtId="34">
    <oc r="D521">
      <v>975836.84</v>
    </oc>
    <nc r="D521">
      <v>966337.89</v>
    </nc>
  </rcc>
  <rfmt sheetId="1" sqref="A515:XFD531">
    <dxf>
      <fill>
        <patternFill>
          <bgColor theme="0"/>
        </patternFill>
      </fill>
    </dxf>
  </rfmt>
</revisions>
</file>

<file path=xl/revisions/revisionLog3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56" sId="1" numFmtId="34">
    <oc r="D535">
      <f>55099.99+1375048.64-727434.02+587326.76-587326.76</f>
    </oc>
    <nc r="D535">
      <v>682426.75</v>
    </nc>
  </rcc>
  <rcc rId="5957" sId="1">
    <oc r="B539" t="inlineStr">
      <is>
        <t>17 0 00 83681</t>
      </is>
    </oc>
    <nc r="B539" t="inlineStr">
      <is>
        <t>17 0 00 85551</t>
      </is>
    </nc>
  </rcc>
  <rcc rId="5958" sId="1">
    <oc r="B538" t="inlineStr">
      <is>
        <t>17 0 00 83681</t>
      </is>
    </oc>
    <nc r="B538" t="inlineStr">
      <is>
        <t>17 0 00 85551</t>
      </is>
    </nc>
  </rcc>
  <rcc rId="5959" sId="1">
    <oc r="B537" t="inlineStr">
      <is>
        <t>17 0 00 83681</t>
      </is>
    </oc>
    <nc r="B537" t="inlineStr">
      <is>
        <t>17 0 00 85551</t>
      </is>
    </nc>
  </rcc>
  <rcc rId="5960" sId="1">
    <oc r="B536" t="inlineStr">
      <is>
        <t>17 0 00 83681</t>
      </is>
    </oc>
    <nc r="B536" t="inlineStr">
      <is>
        <t>17 0 00 85551</t>
      </is>
    </nc>
  </rcc>
  <rcc rId="5961" sId="1" numFmtId="34">
    <oc r="D539">
      <v>587326.76</v>
    </oc>
    <nc r="D539">
      <v>0</v>
    </nc>
  </rcc>
  <rcc rId="5962" sId="1" numFmtId="34">
    <oc r="D552">
      <f>5042333.07-17.14</f>
    </oc>
    <nc r="D552">
      <v>4948358.8600000003</v>
    </nc>
  </rcc>
  <rfmt sheetId="1" sqref="A532:XFD552">
    <dxf>
      <fill>
        <patternFill>
          <bgColor theme="0"/>
        </patternFill>
      </fill>
    </dxf>
  </rfmt>
</revisions>
</file>

<file path=xl/revisions/revisionLog3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63" sId="1" numFmtId="34">
    <oc r="D562">
      <f>45921098.28-17150081.74</f>
    </oc>
    <nc r="D562">
      <v>28749892.129999999</v>
    </nc>
  </rcc>
  <rcc rId="5964" sId="1" numFmtId="34">
    <oc r="D566">
      <f>369155.92+275000</f>
    </oc>
    <nc r="D566">
      <v>642155.92000000004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23" sId="1">
    <oc r="B349" t="inlineStr">
      <is>
        <t>10 1 00 L5760</t>
      </is>
    </oc>
    <nc r="B349" t="inlineStr">
      <is>
        <t>10 1 00 L576Л</t>
      </is>
    </nc>
  </rcc>
  <rcc rId="3224" sId="1">
    <oc r="B350" t="inlineStr">
      <is>
        <t>10 1 00 L5760</t>
      </is>
    </oc>
    <nc r="B350" t="inlineStr">
      <is>
        <t>10 1 00 L576Л</t>
      </is>
    </nc>
  </rcc>
  <rcc rId="3225" sId="1">
    <oc r="B351" t="inlineStr">
      <is>
        <t>10 1 00 L5760</t>
      </is>
    </oc>
    <nc r="B351" t="inlineStr">
      <is>
        <t>10 1 00 L576Л</t>
      </is>
    </nc>
  </rcc>
  <rcc rId="3226" sId="1">
    <oc r="B352" t="inlineStr">
      <is>
        <t>10 1 00 L5760</t>
      </is>
    </oc>
    <nc r="B352" t="inlineStr">
      <is>
        <t>10 1 00 L576Л</t>
      </is>
    </nc>
  </rcc>
  <rfmt sheetId="1" sqref="B349:B352">
    <dxf>
      <fill>
        <patternFill patternType="solid">
          <bgColor theme="6" tint="0.59999389629810485"/>
        </patternFill>
      </fill>
    </dxf>
  </rfmt>
  <rcv guid="{D9B90A86-BE39-4FED-8226-084809D277F3}" action="delete"/>
  <rdn rId="0" localSheetId="1" customView="1" name="Z_D9B90A86_BE39_4FED_8226_084809D277F3_.wvu.PrintArea" hidden="1" oldHidden="1">
    <formula>'программы '!$A$1:$F$807</formula>
    <oldFormula>'программы '!$A$1:$F$807</oldFormula>
  </rdn>
  <rdn rId="0" localSheetId="1" customView="1" name="Z_D9B90A86_BE39_4FED_8226_084809D277F3_.wvu.Rows" hidden="1" oldHidden="1">
    <formula>'программы '!$272:$276</formula>
    <oldFormula>'программы '!$272:$276</oldFormula>
  </rdn>
  <rdn rId="0" localSheetId="1" customView="1" name="Z_D9B90A86_BE39_4FED_8226_084809D277F3_.wvu.FilterData" hidden="1" oldHidden="1">
    <formula>'программы '!$A$1:$A$820</formula>
    <oldFormula>'программы '!$A$1:$A$820</oldFormula>
  </rdn>
  <rcv guid="{D9B90A86-BE39-4FED-8226-084809D277F3}" action="add"/>
</revisions>
</file>

<file path=xl/revisions/revisionLog3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53:XFD566">
    <dxf>
      <fill>
        <patternFill>
          <bgColor theme="0"/>
        </patternFill>
      </fill>
    </dxf>
  </rfmt>
  <rfmt sheetId="1" sqref="D583">
    <dxf>
      <fill>
        <patternFill>
          <bgColor theme="0"/>
        </patternFill>
      </fill>
    </dxf>
  </rfmt>
  <rfmt sheetId="1" sqref="D576">
    <dxf>
      <fill>
        <patternFill>
          <bgColor theme="0"/>
        </patternFill>
      </fill>
    </dxf>
  </rfmt>
  <rcc rId="5965" sId="1" numFmtId="34">
    <oc r="D571">
      <f>2051966+600000</f>
    </oc>
    <nc r="D571">
      <v>2051966</v>
    </nc>
  </rcc>
  <rcc rId="5966" sId="1" numFmtId="34">
    <oc r="D590">
      <v>9013</v>
    </oc>
    <nc r="D590">
      <v>1856</v>
    </nc>
  </rcc>
  <rfmt sheetId="1" sqref="A567:XFD590">
    <dxf>
      <fill>
        <patternFill>
          <bgColor theme="0"/>
        </patternFill>
      </fill>
    </dxf>
  </rfmt>
  <rcc rId="5967" sId="1" numFmtId="34">
    <oc r="D595">
      <f>7600000-2600191.95</f>
    </oc>
    <nc r="D595">
      <v>3909808.24</v>
    </nc>
  </rcc>
  <rcc rId="5968" sId="1" numFmtId="34">
    <oc r="D606">
      <f>10307073.16+396451.39</f>
    </oc>
    <nc r="D606">
      <v>10695483.35</v>
    </nc>
  </rcc>
  <rcc rId="5969" sId="1" numFmtId="34">
    <oc r="D607">
      <f>171180-32757.1</f>
    </oc>
    <nc r="D607">
      <v>138422.9</v>
    </nc>
  </rcc>
  <rcc rId="5970" sId="1" numFmtId="34">
    <oc r="D608">
      <f>3112736.09+119728.31</f>
    </oc>
    <nc r="D608">
      <v>3210279.23</v>
    </nc>
  </rcc>
  <rcc rId="5971" sId="1" numFmtId="34">
    <oc r="D611">
      <f>893200+32757.1</f>
    </oc>
    <nc r="D611">
      <v>923531.91</v>
    </nc>
  </rcc>
  <rcc rId="5972" sId="1" numFmtId="34">
    <oc r="D614">
      <f>92400-45000</f>
    </oc>
    <nc r="D614">
      <v>0</v>
    </nc>
  </rcc>
  <rcc rId="5973" sId="1" numFmtId="34">
    <oc r="D618">
      <v>1126800</v>
    </oc>
    <nc r="D618">
      <v>1130600</v>
    </nc>
  </rcc>
  <rcc rId="5974" sId="1" numFmtId="34">
    <oc r="D622">
      <v>10683728.85</v>
    </oc>
    <nc r="D622">
      <v>4916196.26</v>
    </nc>
  </rcc>
  <rfmt sheetId="1" sqref="A591:XFD622">
    <dxf>
      <fill>
        <patternFill>
          <bgColor theme="0"/>
        </patternFill>
      </fill>
    </dxf>
  </rfmt>
</revisions>
</file>

<file path=xl/revisions/revisionLog3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75" sId="1" numFmtId="34">
    <oc r="D627">
      <v>1160863.1399999999</v>
    </oc>
    <nc r="D627">
      <v>1144659.31</v>
    </nc>
  </rcc>
  <rfmt sheetId="1" sqref="A623:XFD636">
    <dxf>
      <fill>
        <patternFill>
          <bgColor theme="0"/>
        </patternFill>
      </fill>
    </dxf>
  </rfmt>
</revisions>
</file>

<file path=xl/revisions/revisionLog3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76" sId="1" numFmtId="34">
    <oc r="D641">
      <v>2421459.6</v>
    </oc>
    <nc r="D641">
      <v>2401367.06</v>
    </nc>
  </rcc>
  <rcc rId="5977" sId="1" numFmtId="34">
    <oc r="D642">
      <v>731280.8</v>
    </oc>
    <nc r="D642">
      <v>613301.23</v>
    </nc>
  </rcc>
  <rfmt sheetId="1" sqref="A637:XFD642">
    <dxf>
      <fill>
        <patternFill>
          <bgColor theme="0"/>
        </patternFill>
      </fill>
    </dxf>
  </rfmt>
  <rcc rId="5978" sId="1" numFmtId="34">
    <oc r="D648">
      <f>994070.79+166161.24</f>
    </oc>
    <nc r="D648">
      <v>1149552.21</v>
    </nc>
  </rcc>
  <rcc rId="5979" sId="1" numFmtId="34">
    <oc r="D649">
      <f>300209.38+50180.7</f>
    </oc>
    <nc r="D649">
      <v>347164.77</v>
    </nc>
  </rcc>
  <rcc rId="5980" sId="1" numFmtId="34">
    <oc r="D654">
      <f>3699216.81-166161.24-608712.36</f>
    </oc>
    <nc r="D654">
      <v>2924323.61</v>
    </nc>
  </rcc>
  <rcc rId="5981" sId="1" numFmtId="34">
    <oc r="D655">
      <f>120964.19-55632</f>
    </oc>
    <nc r="D655">
      <v>60010</v>
    </nc>
  </rcc>
  <rcc rId="5982" sId="1" numFmtId="34">
    <oc r="D656">
      <f>80000+55632</f>
    </oc>
    <nc r="D656">
      <v>111211.02</v>
    </nc>
  </rcc>
  <rcc rId="5983" sId="1" numFmtId="34">
    <oc r="D657">
      <f>1117163.47-50180.7-183831.13</f>
    </oc>
    <nc r="D657">
      <v>874910.68</v>
    </nc>
  </rcc>
  <rfmt sheetId="1" sqref="A643:XFD660">
    <dxf>
      <fill>
        <patternFill>
          <bgColor theme="0"/>
        </patternFill>
      </fill>
    </dxf>
  </rfmt>
</revisions>
</file>

<file path=xl/revisions/revisionLog3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84" sId="1" numFmtId="34">
    <oc r="D666">
      <f>886257.6</f>
    </oc>
    <nc r="D666">
      <v>883822.31</v>
    </nc>
  </rcc>
  <rcc rId="5985" sId="1" numFmtId="34">
    <oc r="D667">
      <v>267649.8</v>
    </oc>
    <nc r="D667">
      <v>266914.33</v>
    </nc>
  </rcc>
  <rcc rId="5986" sId="1" numFmtId="34">
    <oc r="D672">
      <v>662217.15</v>
    </oc>
    <nc r="D672">
      <v>662125.43999999994</v>
    </nc>
  </rcc>
  <rcc rId="5987" sId="1" numFmtId="34">
    <oc r="D673">
      <v>36080</v>
    </oc>
    <nc r="D673">
      <v>34095.120000000003</v>
    </nc>
  </rcc>
  <rcc rId="5988" sId="1" numFmtId="34">
    <oc r="D674">
      <v>199989.58</v>
    </oc>
    <nc r="D674">
      <v>198140.56</v>
    </nc>
  </rcc>
  <rcc rId="5989" sId="1" numFmtId="34">
    <oc r="D677">
      <v>53200</v>
    </oc>
    <nc r="D677">
      <v>52930.12</v>
    </nc>
  </rcc>
  <rfmt sheetId="1" sqref="A661:XFD677">
    <dxf>
      <fill>
        <patternFill>
          <bgColor theme="0"/>
        </patternFill>
      </fill>
    </dxf>
  </rfmt>
</revisions>
</file>

<file path=xl/revisions/revisionLog3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90" sId="1" numFmtId="34">
    <oc r="D693">
      <v>40000</v>
    </oc>
    <nc r="D693">
      <v>7122.6</v>
    </nc>
  </rcc>
  <rcc rId="5991" sId="1" numFmtId="34">
    <oc r="D694">
      <v>376879.75</v>
    </oc>
    <nc r="D694">
      <v>372281.73</v>
    </nc>
  </rcc>
  <rcc rId="5992" sId="1" numFmtId="34">
    <oc r="D697">
      <v>140000</v>
    </oc>
    <nc r="D697">
      <v>139579</v>
    </nc>
  </rcc>
  <rcc rId="5993" sId="1" numFmtId="34">
    <oc r="D701">
      <v>623973.1</v>
    </oc>
    <nc r="D701">
      <v>97965.43</v>
    </nc>
  </rcc>
  <rcc rId="5994" sId="1" numFmtId="34">
    <oc r="D702">
      <v>20000</v>
    </oc>
    <nc r="D702">
      <v>0</v>
    </nc>
  </rcc>
  <rcc rId="5995" sId="1" numFmtId="34">
    <oc r="D703">
      <v>188439.88</v>
    </oc>
    <nc r="D703">
      <v>29585.55</v>
    </nc>
  </rcc>
  <rcc rId="5996" sId="1" numFmtId="34">
    <oc r="D706">
      <v>175000</v>
    </oc>
    <nc r="D706">
      <v>171404</v>
    </nc>
  </rcc>
  <rcc rId="5997" sId="1" numFmtId="34">
    <oc r="D715">
      <f>1196994.24+376200+144590.04-4000+36814.6-100000-146086.29</f>
    </oc>
    <nc r="D715">
      <v>1266625.8600000001</v>
    </nc>
  </rcc>
  <rcc rId="5998" sId="1" numFmtId="34">
    <oc r="D716">
      <f>28894640-119728.31</f>
    </oc>
    <nc r="D716">
      <v>18165887.559999999</v>
    </nc>
  </rcc>
  <rcc rId="5999" sId="1" numFmtId="34">
    <oc r="D719">
      <f>8457235.47+452891.15+307495-5000-50000-94296-2300.4-51137.52-512.48+142849.26+31898</f>
    </oc>
    <nc r="D719">
      <v>8827145.1500000004</v>
    </nc>
  </rcc>
  <rcc rId="6000" sId="1" numFmtId="34">
    <oc r="D726">
      <f>16123.04-500.74</f>
    </oc>
    <nc r="D726">
      <v>11552.26</v>
    </nc>
  </rcc>
  <rcc rId="6001" sId="1" numFmtId="34">
    <oc r="D714">
      <f>95677615.83-396451.39</f>
    </oc>
    <nc r="D714">
      <v>94754864.219999999</v>
    </nc>
  </rcc>
</revisions>
</file>

<file path=xl/revisions/revisionLog3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02" sId="1" numFmtId="34">
    <oc r="D716">
      <v>18165887.559999999</v>
    </oc>
    <nc r="D716">
      <v>28165887.559999999</v>
    </nc>
  </rcc>
</revisions>
</file>

<file path=xl/revisions/revisionLog3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678:XFD726">
    <dxf>
      <fill>
        <patternFill>
          <bgColor theme="0"/>
        </patternFill>
      </fill>
    </dxf>
  </rfmt>
  <rrc rId="6003" sId="1" ref="A742:XFD742" action="insertRow"/>
  <rrc rId="6004" sId="1" ref="A742:XFD742" action="insertRow"/>
  <rrc rId="6005" sId="1" ref="A742:XFD742" action="insertRow"/>
  <rcc rId="6006" sId="1">
    <nc r="C744">
      <v>612</v>
    </nc>
  </rcc>
  <rcc rId="6007" sId="1">
    <nc r="C743">
      <v>610</v>
    </nc>
  </rcc>
  <rcc rId="6008" sId="1">
    <nc r="C742">
      <v>600</v>
    </nc>
  </rcc>
  <rcc rId="6009" sId="1" xfDxf="1" dxf="1">
    <nc r="A744" t="inlineStr">
      <is>
        <t>Субсидии бюджетным учреждениям на  иные цели</t>
      </is>
    </nc>
    <ndxf>
      <font>
        <name val="Times New Roman"/>
        <scheme val="none"/>
      </font>
      <fill>
        <patternFill patternType="solid">
          <bgColor rgb="FFFFFF0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6010" sId="1" xfDxf="1" dxf="1">
    <nc r="A743" t="inlineStr">
      <is>
        <t>Субсидии бюджетным учреждениям</t>
      </is>
    </nc>
    <ndxf>
      <font>
        <name val="Times New Roman"/>
        <scheme val="none"/>
      </font>
      <fill>
        <patternFill patternType="solid">
          <bgColor rgb="FFFFFF0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6011" sId="1" xfDxf="1" dxf="1">
    <nc r="A742" t="inlineStr">
      <is>
        <t>Предоставление субсидий бюджетным, автономным учреждениям и иным некоммерческим организациям</t>
      </is>
    </nc>
    <ndxf>
      <font>
        <name val="Times New Roman"/>
        <scheme val="none"/>
      </font>
      <fill>
        <patternFill patternType="solid">
          <bgColor rgb="FFFFFF0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6012" sId="1">
    <nc r="B744" t="inlineStr">
      <is>
        <t>55 0 00 81400</t>
      </is>
    </nc>
  </rcc>
  <rcc rId="6013" sId="1">
    <nc r="B743" t="inlineStr">
      <is>
        <t>55 0 00 81400</t>
      </is>
    </nc>
  </rcc>
  <rcc rId="6014" sId="1">
    <nc r="B742" t="inlineStr">
      <is>
        <t>55 0 00 81400</t>
      </is>
    </nc>
  </rcc>
  <rcc rId="6015" sId="1">
    <nc r="D743">
      <f>D744</f>
    </nc>
  </rcc>
  <rcc rId="6016" sId="1">
    <nc r="D742">
      <f>D743</f>
    </nc>
  </rcc>
  <rcc rId="6017" sId="1">
    <oc r="D734">
      <f>D735+D740+D737</f>
    </oc>
    <nc r="D734">
      <f>D735+D740+D737+D742</f>
    </nc>
  </rcc>
  <rcc rId="6018" sId="1" numFmtId="34">
    <nc r="D744">
      <v>183600</v>
    </nc>
  </rcc>
  <rcc rId="6019" sId="1" numFmtId="34">
    <oc r="D741">
      <v>810000</v>
    </oc>
    <nc r="D741">
      <v>930000</v>
    </nc>
  </rcc>
  <rcc rId="6020" sId="1" numFmtId="34">
    <oc r="D739">
      <v>717424</v>
    </oc>
    <nc r="D739">
      <v>1012295.75</v>
    </nc>
  </rcc>
  <rcc rId="6021" sId="1" numFmtId="34">
    <oc r="D736">
      <v>707856.79</v>
    </oc>
    <nc r="D736">
      <v>0</v>
    </nc>
  </rcc>
  <rcc rId="6022" sId="1" numFmtId="34">
    <oc r="D732">
      <f>9233378.3+5960960.09</f>
    </oc>
    <nc r="D732">
      <v>13312241.18</v>
    </nc>
  </rcc>
  <rrc rId="6023" sId="1" ref="A734:XFD734" action="insertRow"/>
  <rrc rId="6024" sId="1" ref="A734:XFD734" action="insertRow"/>
  <rrc rId="6025" sId="1" ref="A734:XFD734" action="insertRow"/>
  <rcc rId="6026" sId="1">
    <nc r="C736">
      <v>612</v>
    </nc>
  </rcc>
  <rcc rId="6027" sId="1">
    <nc r="C735">
      <v>610</v>
    </nc>
  </rcc>
  <rcc rId="6028" sId="1">
    <nc r="C734">
      <v>600</v>
    </nc>
  </rcc>
  <rcc rId="6029" sId="1" xfDxf="1" dxf="1">
    <nc r="A736" t="inlineStr">
      <is>
        <t>Субсидии бюджетным учреждениям на  иные цели</t>
      </is>
    </nc>
    <ndxf>
      <font>
        <name val="Times New Roman"/>
        <scheme val="none"/>
      </font>
      <fill>
        <patternFill patternType="solid">
          <bgColor rgb="FFFFFF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6030" sId="1" xfDxf="1" dxf="1">
    <nc r="A735" t="inlineStr">
      <is>
        <t>Субсидии бюджетным учреждениям</t>
      </is>
    </nc>
    <ndxf>
      <font>
        <name val="Times New Roman"/>
        <scheme val="none"/>
      </font>
      <fill>
        <patternFill patternType="solid">
          <bgColor rgb="FFFFFF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6031" sId="1" xfDxf="1" dxf="1">
    <nc r="A734" t="inlineStr">
      <is>
        <t>Предоставление субсидий бюджетным, автономным учреждениям и иным некоммерческим организациям</t>
      </is>
    </nc>
    <ndxf>
      <font>
        <name val="Times New Roman"/>
        <scheme val="none"/>
      </font>
      <fill>
        <patternFill patternType="solid">
          <bgColor rgb="FFFFFF00"/>
        </patternFill>
      </fill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6032" sId="1">
    <nc r="B736" t="inlineStr">
      <is>
        <t>55 0 00 71400</t>
      </is>
    </nc>
  </rcc>
  <rcc rId="6033" sId="1">
    <nc r="B735" t="inlineStr">
      <is>
        <t>55 0 00 71400</t>
      </is>
    </nc>
  </rcc>
  <rcc rId="6034" sId="1">
    <nc r="B734" t="inlineStr">
      <is>
        <t>55 0 00 71400</t>
      </is>
    </nc>
  </rcc>
  <rcc rId="6035" sId="1">
    <nc r="D735">
      <f>D736</f>
    </nc>
  </rcc>
  <rcc rId="6036" sId="1">
    <nc r="D734">
      <f>D735</f>
    </nc>
  </rcc>
  <rcc rId="6037" sId="1">
    <oc r="D729">
      <f>D730</f>
    </oc>
    <nc r="D729">
      <f>D730+D734</f>
    </nc>
  </rcc>
  <rcc rId="6038" sId="1" numFmtId="34">
    <nc r="D736">
      <v>650000</v>
    </nc>
  </rcc>
  <rcv guid="{D9B90A86-BE39-4FED-8226-084809D277F3}" action="delete"/>
  <rdn rId="0" localSheetId="1" customView="1" name="Z_D9B90A86_BE39_4FED_8226_084809D277F3_.wvu.PrintArea" hidden="1" oldHidden="1">
    <formula>'программы '!$A$1:$D$958</formula>
    <oldFormula>'программы '!$A$1:$D$958</oldFormula>
  </rdn>
  <rdn rId="0" localSheetId="1" customView="1" name="Z_D9B90A86_BE39_4FED_8226_084809D277F3_.wvu.FilterData" hidden="1" oldHidden="1">
    <formula>'программы '!$C$1:$C$966</formula>
    <oldFormula>'программы '!$C$1:$C$966</oldFormula>
  </rdn>
  <rcv guid="{D9B90A86-BE39-4FED-8226-084809D277F3}" action="add"/>
</revisions>
</file>

<file path=xl/revisions/revisionLog3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727:XFD747">
    <dxf>
      <fill>
        <patternFill>
          <bgColor theme="0"/>
        </patternFill>
      </fill>
    </dxf>
  </rfmt>
  <rcc rId="6041" sId="1" numFmtId="34">
    <oc r="D752">
      <v>2177911.63</v>
    </oc>
    <nc r="D752">
      <v>2179880.23</v>
    </nc>
  </rcc>
  <rcc rId="6042" sId="1" numFmtId="34">
    <oc r="D754">
      <v>656554.51</v>
    </oc>
    <nc r="D754">
      <v>657149.01</v>
    </nc>
  </rcc>
  <rfmt sheetId="1" sqref="A748:XFD758">
    <dxf>
      <fill>
        <patternFill>
          <bgColor theme="0"/>
        </patternFill>
      </fill>
    </dxf>
  </rfmt>
  <rcc rId="6043" sId="1" numFmtId="34">
    <oc r="D762">
      <v>198925.73</v>
    </oc>
    <nc r="D762">
      <v>158594.54999999999</v>
    </nc>
  </rcc>
  <rcc rId="6044" sId="1" numFmtId="34">
    <oc r="D766">
      <f>681300-164134</f>
    </oc>
    <nc r="D766">
      <v>466187.45</v>
    </nc>
  </rcc>
  <rcc rId="6045" sId="1" numFmtId="34">
    <oc r="D767">
      <f>2664785-250000</f>
    </oc>
    <nc r="D767">
      <v>2354743.88</v>
    </nc>
  </rcc>
  <rcc rId="6046" sId="1" numFmtId="34">
    <oc r="D769">
      <v>188933.33</v>
    </oc>
    <nc r="D769">
      <v>335461</v>
    </nc>
  </rcc>
  <rfmt sheetId="1" sqref="A759:XFD769">
    <dxf>
      <fill>
        <patternFill>
          <bgColor theme="0"/>
        </patternFill>
      </fill>
    </dxf>
  </rfmt>
</revisions>
</file>

<file path=xl/revisions/revisionLog3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770:XFD774">
    <dxf>
      <fill>
        <patternFill>
          <bgColor theme="0"/>
        </patternFill>
      </fill>
    </dxf>
  </rfmt>
  <rcc rId="6047" sId="1" numFmtId="34">
    <oc r="D779">
      <f>410000+127434.02</f>
    </oc>
    <nc r="D779">
      <v>488963.79</v>
    </nc>
  </rcc>
  <rcc rId="6048" sId="1" numFmtId="34">
    <oc r="D783">
      <f>8700000-1921485.27-222894.69</f>
    </oc>
    <nc r="D783">
      <v>6448682.8099999996</v>
    </nc>
  </rcc>
  <rcc rId="6049" sId="1" numFmtId="34">
    <oc r="D788">
      <f>2883700+70000-2111604.31+267000-262984.84-49469.65-91974.96-140000</f>
    </oc>
    <nc r="D788">
      <v>536256</v>
    </nc>
  </rcc>
  <rcc rId="6050" sId="1" numFmtId="34">
    <oc r="D789">
      <f>1311616.22-19165.64</f>
    </oc>
    <nc r="D789">
      <v>1087829.73</v>
    </nc>
  </rcc>
  <rcc rId="6051" sId="1" numFmtId="34">
    <oc r="D792">
      <f>1300000+66344.57-1300000</f>
    </oc>
    <nc r="D792">
      <v>0</v>
    </nc>
  </rcc>
  <rcc rId="6052" sId="1" numFmtId="34">
    <oc r="D796">
      <f>11005600+950066.3</f>
    </oc>
    <nc r="D796">
      <v>11736068.810000001</v>
    </nc>
  </rcc>
  <rcc rId="6053" sId="1" numFmtId="34">
    <oc r="D801">
      <f>2874890.87-97542.24-141627.76+417670-50000-100000+135000</f>
    </oc>
    <nc r="D801">
      <v>2935074.58</v>
    </nc>
  </rcc>
  <rcc rId="6054" sId="1" numFmtId="34">
    <oc r="D802">
      <f>2120945+250000</f>
    </oc>
    <nc r="D802">
      <v>2284528.87</v>
    </nc>
  </rcc>
  <rcc rId="6055" sId="1" numFmtId="34">
    <oc r="D812">
      <v>9833380</v>
    </oc>
    <nc r="D812">
      <v>9770120.8399999999</v>
    </nc>
  </rcc>
  <rcc rId="6056" sId="1" numFmtId="34">
    <oc r="D817">
      <f>45000+655000-60000-31898</f>
    </oc>
    <nc r="D817">
      <v>530682.5</v>
    </nc>
  </rcc>
  <rcc rId="6057" sId="1" numFmtId="34">
    <oc r="D829">
      <v>1678185.37</v>
    </oc>
    <nc r="D829">
      <v>1608905.99</v>
    </nc>
  </rcc>
  <rcc rId="6058" sId="1" numFmtId="34">
    <oc r="D841">
      <v>47200000</v>
    </oc>
    <nc r="D841">
      <v>24013075.640000001</v>
    </nc>
  </rcc>
  <rcc rId="6059" sId="1" numFmtId="34">
    <oc r="D807">
      <f>72000+39546.6</f>
    </oc>
    <nc r="D807">
      <v>92912.56</v>
    </nc>
  </rcc>
  <rfmt sheetId="1" sqref="A775:XFD841">
    <dxf>
      <fill>
        <patternFill>
          <bgColor theme="0"/>
        </patternFill>
      </fill>
    </dxf>
  </rfmt>
</revisions>
</file>

<file path=xl/revisions/revisionLog3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60" sId="1" numFmtId="34">
    <oc r="D850">
      <f>870348.82+228194</f>
    </oc>
    <nc r="D850">
      <v>1081785.83</v>
    </nc>
  </rcc>
  <rcc rId="6061" sId="1" numFmtId="34">
    <oc r="D851">
      <v>1249276.6200000001</v>
    </oc>
    <nc r="D851">
      <v>1102748.95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30" sId="1">
    <oc r="B423" t="inlineStr">
      <is>
        <t>13 0 00 L4970</t>
      </is>
    </oc>
    <nc r="B423" t="inlineStr">
      <is>
        <t>13 0 00 L4971</t>
      </is>
    </nc>
  </rcc>
  <rcc rId="3231" sId="1">
    <oc r="B424" t="inlineStr">
      <is>
        <t>13 0 00 L4970</t>
      </is>
    </oc>
    <nc r="B424" t="inlineStr">
      <is>
        <t>13 0 00 L4971</t>
      </is>
    </nc>
  </rcc>
  <rcc rId="3232" sId="1">
    <oc r="B425" t="inlineStr">
      <is>
        <t>13 0 00 L4970</t>
      </is>
    </oc>
    <nc r="B425" t="inlineStr">
      <is>
        <t>13 0 00 L4971</t>
      </is>
    </nc>
  </rcc>
  <rcc rId="3233" sId="1">
    <oc r="B426" t="inlineStr">
      <is>
        <t>13 0 00 L4970</t>
      </is>
    </oc>
    <nc r="B426" t="inlineStr">
      <is>
        <t>13 0 00 L4971</t>
      </is>
    </nc>
  </rcc>
  <rfmt sheetId="1" sqref="B423:B426">
    <dxf>
      <fill>
        <patternFill patternType="solid">
          <bgColor theme="6" tint="0.59999389629810485"/>
        </patternFill>
      </fill>
    </dxf>
  </rfmt>
</revisions>
</file>

<file path=xl/revisions/revisionLog3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62" sId="1" numFmtId="34">
    <oc r="D861">
      <v>58252.09</v>
    </oc>
    <nc r="D861">
      <v>57496.24</v>
    </nc>
  </rcc>
  <rcc rId="6063" sId="1" numFmtId="34">
    <oc r="D864">
      <v>19359110.43</v>
    </oc>
    <nc r="D864">
      <v>19107916.620000001</v>
    </nc>
  </rcc>
  <rcc rId="6064" sId="1" numFmtId="34">
    <oc r="D868">
      <v>5111780</v>
    </oc>
    <nc r="D868">
      <v>5007580</v>
    </nc>
  </rcc>
  <rcc rId="6065" sId="1" numFmtId="34">
    <oc r="D873">
      <v>510676.35</v>
    </oc>
    <nc r="D873">
      <v>0</v>
    </nc>
  </rcc>
  <rcc rId="6066" sId="1" numFmtId="34">
    <oc r="D888">
      <v>137354</v>
    </oc>
    <nc r="D888">
      <v>68677.13</v>
    </nc>
  </rcc>
</revisions>
</file>

<file path=xl/revisions/revisionLog3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841:XFD888">
    <dxf>
      <fill>
        <patternFill>
          <bgColor theme="0"/>
        </patternFill>
      </fill>
    </dxf>
  </rfmt>
</revisions>
</file>

<file path=xl/revisions/revisionLog3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67" sId="1" numFmtId="34">
    <oc r="D893">
      <f>10934655.53+295698.92+296895.68</f>
    </oc>
    <nc r="D893">
      <v>11527250.1</v>
    </nc>
  </rcc>
  <rcc rId="6068" sId="1" numFmtId="34">
    <oc r="D894">
      <f>100000-40353.4</f>
    </oc>
    <nc r="D894">
      <v>57616.6</v>
    </nc>
  </rcc>
  <rcc rId="6069" sId="1" numFmtId="34">
    <oc r="D895">
      <v>3481229.54</v>
    </oc>
    <nc r="D895">
      <v>3466515.1</v>
    </nc>
  </rcc>
  <rcc rId="6070" sId="1" numFmtId="34">
    <oc r="D900">
      <f>5426908.87-90000</f>
    </oc>
    <nc r="D900">
      <v>5155475.78</v>
    </nc>
  </rcc>
  <rcc rId="6071" sId="1" numFmtId="34">
    <oc r="D902">
      <v>77500</v>
    </oc>
    <nc r="D902">
      <v>40483.74</v>
    </nc>
  </rcc>
  <rcc rId="6072" sId="1" numFmtId="34">
    <oc r="D899">
      <f>5887375.53+10000-100000</f>
    </oc>
    <nc r="D899">
      <v>5787909.3399999999</v>
    </nc>
  </rcc>
</revisions>
</file>

<file path=xl/revisions/revisionLog3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889:XFD902">
    <dxf>
      <fill>
        <patternFill>
          <bgColor theme="0"/>
        </patternFill>
      </fill>
    </dxf>
  </rfmt>
</revisions>
</file>

<file path=xl/revisions/revisionLog3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903:XFD912">
    <dxf>
      <fill>
        <patternFill>
          <bgColor theme="0"/>
        </patternFill>
      </fill>
    </dxf>
  </rfmt>
</revisions>
</file>

<file path=xl/revisions/revisionLog3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73" sId="1" numFmtId="34">
    <oc r="D919">
      <v>62856.9</v>
    </oc>
    <nc r="D919">
      <v>62379.5</v>
    </nc>
  </rcc>
  <rcc rId="6074" sId="1" numFmtId="34">
    <oc r="D920">
      <v>1286431.51</v>
    </oc>
    <nc r="D920">
      <v>1273081.44</v>
    </nc>
  </rcc>
  <rfmt sheetId="1" sqref="A913:XFD920">
    <dxf>
      <fill>
        <patternFill>
          <bgColor theme="0"/>
        </patternFill>
      </fill>
    </dxf>
  </rfmt>
</revisions>
</file>

<file path=xl/revisions/revisionLog3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75" sId="1" numFmtId="34">
    <oc r="D926">
      <f>8134170</f>
    </oc>
    <nc r="D926">
      <v>7865908.5300000003</v>
    </nc>
  </rcc>
  <rcc rId="6076" sId="1" numFmtId="34">
    <oc r="D934">
      <f>11409500-2850000-5850000-1147500+0.89-1173250+109849.77-46701.48</f>
    </oc>
    <nc r="D934">
      <v>436995.47</v>
    </nc>
  </rcc>
  <rcc rId="6077" sId="1" numFmtId="34">
    <oc r="D944">
      <v>375524.34</v>
    </oc>
    <nc r="D944">
      <v>360620.92</v>
    </nc>
  </rcc>
  <rfmt sheetId="1" sqref="A881:XFD958">
    <dxf>
      <fill>
        <patternFill>
          <bgColor theme="0"/>
        </patternFill>
      </fill>
    </dxf>
  </rfmt>
</revisions>
</file>

<file path=xl/revisions/revisionLog3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0E81E54-DD45-4653-9DCD-548F6723F554}" action="delete"/>
  <rdn rId="0" localSheetId="1" customView="1" name="Z_30E81E54_DD45_4653_9DCD_548F6723F554_.wvu.PrintArea" hidden="1" oldHidden="1">
    <formula>'программы '!$A$1:$D$958</formula>
    <oldFormula>'программы '!$A$1:$D$958</oldFormula>
  </rdn>
  <rdn rId="0" localSheetId="1" customView="1" name="Z_30E81E54_DD45_4653_9DCD_548F6723F554_.wvu.Rows" hidden="1" oldHidden="1">
    <formula>'программы '!$312:$320</formula>
    <oldFormula>'программы '!$312:$320</oldFormula>
  </rdn>
  <rdn rId="0" localSheetId="1" customView="1" name="Z_30E81E54_DD45_4653_9DCD_548F6723F554_.wvu.FilterData" hidden="1" oldHidden="1">
    <formula>'программы '!$C$1:$C$966</formula>
    <oldFormula>'программы '!$A$1:$A$971</oldFormula>
  </rdn>
  <rcv guid="{30E81E54-DD45-4653-9DCD-548F6723F554}" action="add"/>
</revisions>
</file>

<file path=xl/revisions/revisionLog3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30E81E54-DD45-4653-9DCD-548F6723F554}" action="delete"/>
  <rdn rId="0" localSheetId="1" customView="1" name="Z_30E81E54_DD45_4653_9DCD_548F6723F554_.wvu.PrintArea" hidden="1" oldHidden="1">
    <formula>'программы '!$A$1:$D$958</formula>
    <oldFormula>'программы '!$A$1:$D$958</oldFormula>
  </rdn>
  <rdn rId="0" localSheetId="1" customView="1" name="Z_30E81E54_DD45_4653_9DCD_548F6723F554_.wvu.Rows" hidden="1" oldHidden="1">
    <formula>'программы '!$312:$320</formula>
    <oldFormula>'программы '!$312:$320</oldFormula>
  </rdn>
  <rdn rId="0" localSheetId="1" customView="1" name="Z_30E81E54_DD45_4653_9DCD_548F6723F554_.wvu.FilterData" hidden="1" oldHidden="1">
    <formula>'программы '!$C$1:$C$966</formula>
    <oldFormula>'программы '!$C$1:$C$966</oldFormula>
  </rdn>
  <rcv guid="{30E81E54-DD45-4653-9DCD-548F6723F554}" action="add"/>
</revisions>
</file>

<file path=xl/revisions/revisionLog3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8:D10" start="0" length="2147483647">
    <dxf>
      <font>
        <sz val="11"/>
      </font>
    </dxf>
  </rfmt>
  <rcv guid="{D9B90A86-BE39-4FED-8226-084809D277F3}" action="delete"/>
  <rdn rId="0" localSheetId="1" customView="1" name="Z_D9B90A86_BE39_4FED_8226_084809D277F3_.wvu.PrintArea" hidden="1" oldHidden="1">
    <formula>'программы '!$A$1:$D$958</formula>
    <oldFormula>'программы '!$A$1:$D$958</oldFormula>
  </rdn>
  <rdn rId="0" localSheetId="1" customView="1" name="Z_D9B90A86_BE39_4FED_8226_084809D277F3_.wvu.FilterData" hidden="1" oldHidden="1">
    <formula>'программы '!$C$1:$C$966</formula>
    <oldFormula>'программы '!$C$1:$C$966</oldFormula>
  </rdn>
  <rcv guid="{D9B90A86-BE39-4FED-8226-084809D277F3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34" sId="1" numFmtId="30">
    <oc r="C507">
      <v>414</v>
    </oc>
    <nc r="C507" t="inlineStr">
      <is>
        <t>412</t>
      </is>
    </nc>
  </rcc>
  <rfmt sheetId="1" sqref="C507">
    <dxf>
      <fill>
        <patternFill patternType="solid">
          <bgColor theme="6" tint="0.59999389629810485"/>
        </patternFill>
      </fill>
    </dxf>
  </rfmt>
  <rcc rId="3235" sId="1" numFmtId="30">
    <oc r="C498">
      <v>414</v>
    </oc>
    <nc r="C498" t="inlineStr">
      <is>
        <t>412</t>
      </is>
    </nc>
  </rcc>
  <rfmt sheetId="1" sqref="C498">
    <dxf>
      <fill>
        <patternFill patternType="solid">
          <bgColor theme="6" tint="0.59999389629810485"/>
        </patternFill>
      </fill>
    </dxf>
  </rfmt>
  <rfmt sheetId="1" sqref="C513">
    <dxf>
      <fill>
        <patternFill patternType="solid">
          <bgColor theme="6" tint="0.59999389629810485"/>
        </patternFill>
      </fill>
    </dxf>
  </rfmt>
  <rcv guid="{D9B90A86-BE39-4FED-8226-084809D277F3}" action="delete"/>
  <rdn rId="0" localSheetId="1" customView="1" name="Z_D9B90A86_BE39_4FED_8226_084809D277F3_.wvu.PrintArea" hidden="1" oldHidden="1">
    <formula>'программы '!$A$1:$F$807</formula>
    <oldFormula>'программы '!$A$1:$F$807</oldFormula>
  </rdn>
  <rdn rId="0" localSheetId="1" customView="1" name="Z_D9B90A86_BE39_4FED_8226_084809D277F3_.wvu.Rows" hidden="1" oldHidden="1">
    <formula>'программы '!$272:$276</formula>
    <oldFormula>'программы '!$272:$276</oldFormula>
  </rdn>
  <rdn rId="0" localSheetId="1" customView="1" name="Z_D9B90A86_BE39_4FED_8226_084809D277F3_.wvu.FilterData" hidden="1" oldHidden="1">
    <formula>'программы '!$A$1:$A$820</formula>
    <oldFormula>'программы '!$A$1:$A$820</oldFormula>
  </rdn>
  <rcv guid="{D9B90A86-BE39-4FED-8226-084809D277F3}" action="add"/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xfDxf="1" sqref="A513" start="0" length="0">
    <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xfDxf="1" sqref="A513" start="0" length="0">
    <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3239" sId="1" xfDxf="1" dxf="1">
    <oc r="A507" t="inlineStr">
      <is>
        <t>Бюджетные инвестиции в объекты капитального строительства государственной (муниципальной) собственности</t>
      </is>
    </oc>
    <nc r="A507" t="inlineStr">
      <is>
        <t>Бюджетные инвестиции на приобретение объектов недвижимого имущества в государственную (муниципальную) собственность</t>
      </is>
    </nc>
    <ndxf>
      <font>
        <name val="Times New Roman"/>
        <scheme val="none"/>
      </font>
      <alignment horizontal="justify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240" sId="1" xfDxf="1" dxf="1">
    <oc r="A498" t="inlineStr">
      <is>
        <t>Бюджетные инвестиции в объекты капитального строительства государственной (муниципальной) собственности</t>
      </is>
    </oc>
    <nc r="A498" t="inlineStr">
      <is>
        <t>Бюджетные инвестиции на приобретение объектов недвижимого имущества в государственную (муниципальную) собственность</t>
      </is>
    </nc>
    <ndxf>
      <font>
        <name val="Times New Roman"/>
        <scheme val="none"/>
      </font>
      <alignment horizontal="justify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rc rId="3241" sId="1" ref="A723:XFD723" action="insertRow"/>
  <rrc rId="3242" sId="1" ref="A723:XFD723" action="insertRow"/>
  <rrc rId="3243" sId="1" ref="A723:XFD723" action="insertRow"/>
  <rrc rId="3244" sId="1" ref="A723:XFD723" action="insertRow"/>
  <rrc rId="3245" sId="1" ref="A723:XFD723" action="insertRow"/>
  <rrc rId="3246" sId="1" ref="A724:XFD724" action="insertRow"/>
  <rrc rId="3247" sId="1" ref="A723:XFD723" action="insertRow"/>
  <rrc rId="3248" sId="1" ref="A724:XFD724" action="insertRow"/>
  <rcc rId="3249" sId="1">
    <nc r="C730" t="inlineStr">
      <is>
        <t>811</t>
      </is>
    </nc>
  </rcc>
  <rcc rId="3250" sId="1">
    <nc r="C729" t="inlineStr">
      <is>
        <t>810</t>
      </is>
    </nc>
  </rcc>
  <rcc rId="3251" sId="1">
    <nc r="C728" t="inlineStr">
      <is>
        <t>800</t>
      </is>
    </nc>
  </rcc>
  <rcc rId="3252" sId="1">
    <nc r="C726" t="inlineStr">
      <is>
        <t>811</t>
      </is>
    </nc>
  </rcc>
  <rcc rId="3253" sId="1">
    <nc r="C725" t="inlineStr">
      <is>
        <t>810</t>
      </is>
    </nc>
  </rcc>
  <rcc rId="3254" sId="1">
    <nc r="C724" t="inlineStr">
      <is>
        <t>800</t>
      </is>
    </nc>
  </rcc>
  <rcc rId="3255" sId="1" xfDxf="1" dxf="1">
    <nc r="B730" t="inlineStr">
      <is>
        <t>59 0 00 83693</t>
      </is>
    </nc>
    <ndxf>
      <font>
        <name val="Times New Roman"/>
        <scheme val="none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3256" sId="1" xfDxf="1" dxf="1">
    <nc r="B729" t="inlineStr">
      <is>
        <t>59 0 00 83693</t>
      </is>
    </nc>
    <ndxf>
      <font>
        <name val="Times New Roman"/>
        <scheme val="none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3257" sId="1" xfDxf="1" dxf="1">
    <nc r="B728" t="inlineStr">
      <is>
        <t>59 0 00 83693</t>
      </is>
    </nc>
    <ndxf>
      <font>
        <name val="Times New Roman"/>
        <scheme val="none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3258" sId="1" xfDxf="1" dxf="1">
    <nc r="B727" t="inlineStr">
      <is>
        <t>59 0 00 83693</t>
      </is>
    </nc>
    <ndxf>
      <font>
        <name val="Times New Roman"/>
        <scheme val="none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3259" sId="1" xfDxf="1" dxf="1">
    <nc r="B726" t="inlineStr">
      <is>
        <t>59 0 00 83692</t>
      </is>
    </nc>
    <ndxf>
      <font>
        <name val="Times New Roman"/>
        <scheme val="none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3260" sId="1" xfDxf="1" dxf="1">
    <nc r="B725" t="inlineStr">
      <is>
        <t>59 0 00 83692</t>
      </is>
    </nc>
    <ndxf>
      <font>
        <name val="Times New Roman"/>
        <scheme val="none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3261" sId="1" xfDxf="1" dxf="1">
    <nc r="B724" t="inlineStr">
      <is>
        <t>59 0 00 83692</t>
      </is>
    </nc>
    <ndxf>
      <font>
        <name val="Times New Roman"/>
        <scheme val="none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3262" sId="1" xfDxf="1" dxf="1">
    <nc r="B723" t="inlineStr">
      <is>
        <t>59 0 00 83692</t>
      </is>
    </nc>
    <ndxf>
      <font>
        <name val="Times New Roman"/>
        <scheme val="none"/>
      </font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3263" sId="1" xfDxf="1" dxf="1">
    <nc r="A723" t="inlineStr">
      <is>
        <t>Возмещение убытков ООО "Трест Техносервис", связанных с оказанием банных услуг на территории пос.Обозерский по тарифам, не обеспечивающим возмещение издержек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264" sId="1" xfDxf="1" dxf="1">
    <nc r="A724" t="inlineStr">
      <is>
        <t xml:space="preserve">Иные бюджетные ассигнования 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265" sId="1" xfDxf="1" dxf="1">
    <nc r="A725" t="inlineStr">
      <is>
        <t>Субсидии юридическим лицам (кроме некомерческих организаций), индивидуальным предпринимателям, физическим лицам - производителям товаров, работ, услуг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266" sId="1" xfDxf="1" dxf="1">
    <nc r="A726" t="inlineStr">
      <is>
        <t>Субсидии на возмещение недополученных доходов или возмещение фактически понесенных затрат в связи с производством (реализацией) товаров, выполнением работ, оказанием услуг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267" sId="1" xfDxf="1" dxf="1">
    <nc r="A730" t="inlineStr">
      <is>
        <t>Субсидии на возмещение недополученных доходов или возмещение фактически понесенных затрат в связи с производством (реализацией) товаров, выполнением работ, оказанием услуг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268" sId="1" xfDxf="1" dxf="1">
    <nc r="A729" t="inlineStr">
      <is>
        <t>Субсидии юридическим лицам (кроме некомерческих организаций), индивидуальным предпринимателям, физическим лицам - производителям товаров, работ, услуг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269" sId="1" xfDxf="1" dxf="1">
    <nc r="A728" t="inlineStr">
      <is>
        <t xml:space="preserve">Иные бюджетные ассигнования 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270" sId="1" xfDxf="1" dxf="1">
    <nc r="A727" t="inlineStr">
      <is>
        <t>Возмещение убытков МУП "Плесецк-Ресурс", связанных с оказанием банных услуг на территории пос.Плесецк по тарифам, не обеспечивающим возмещение издержек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271" sId="1">
    <nc r="D729">
      <f>D730</f>
    </nc>
  </rcc>
  <rcc rId="3272" sId="1">
    <nc r="E729">
      <f>E730</f>
    </nc>
  </rcc>
  <rcc rId="3273" sId="1">
    <nc r="F729">
      <f>F730</f>
    </nc>
  </rcc>
  <rcc rId="3274" sId="1">
    <nc r="D728">
      <f>D729</f>
    </nc>
  </rcc>
  <rcc rId="3275" sId="1">
    <nc r="E728">
      <f>E729</f>
    </nc>
  </rcc>
  <rcc rId="3276" sId="1">
    <nc r="F728">
      <f>F729</f>
    </nc>
  </rcc>
  <rcc rId="3277" sId="1">
    <nc r="D727">
      <f>D728</f>
    </nc>
  </rcc>
  <rcc rId="3278" sId="1">
    <nc r="E727">
      <f>E728</f>
    </nc>
  </rcc>
  <rcc rId="3279" sId="1">
    <nc r="F727">
      <f>F728</f>
    </nc>
  </rcc>
  <rcc rId="3280" sId="1">
    <nc r="D725">
      <f>D726</f>
    </nc>
  </rcc>
  <rcc rId="3281" sId="1">
    <nc r="E725">
      <f>E726</f>
    </nc>
  </rcc>
  <rcc rId="3282" sId="1">
    <nc r="F725">
      <f>F726</f>
    </nc>
  </rcc>
  <rcc rId="3283" sId="1">
    <nc r="D724">
      <f>D725</f>
    </nc>
  </rcc>
  <rcc rId="3284" sId="1">
    <nc r="E724">
      <f>E725</f>
    </nc>
  </rcc>
  <rcc rId="3285" sId="1">
    <nc r="F724">
      <f>F725</f>
    </nc>
  </rcc>
  <rcc rId="3286" sId="1">
    <nc r="D723">
      <f>D724</f>
    </nc>
  </rcc>
  <rcc rId="3287" sId="1">
    <nc r="E723">
      <f>E724</f>
    </nc>
  </rcc>
  <rcc rId="3288" sId="1">
    <nc r="F723">
      <f>F724</f>
    </nc>
  </rcc>
  <rcc rId="3289" sId="1">
    <oc r="D716">
      <f>D721+D717</f>
    </oc>
    <nc r="D716">
      <f>D721+D717+D723+D727</f>
    </nc>
  </rcc>
  <rcc rId="3290" sId="1">
    <oc r="E716">
      <f>E721+E717</f>
    </oc>
    <nc r="E716">
      <f>E721+E717+E723+E727</f>
    </nc>
  </rcc>
  <rcc rId="3291" sId="1">
    <oc r="F716">
      <f>F721+F717</f>
    </oc>
    <nc r="F716">
      <f>F721+F717+F723+F727</f>
    </nc>
  </rcc>
  <rfmt sheetId="1" sqref="A723:XFD730">
    <dxf>
      <fill>
        <patternFill patternType="solid">
          <bgColor theme="6" tint="0.59999389629810485"/>
        </patternFill>
      </fill>
    </dxf>
  </rfmt>
  <rcv guid="{D9B90A86-BE39-4FED-8226-084809D277F3}" action="delete"/>
  <rdn rId="0" localSheetId="1" customView="1" name="Z_D9B90A86_BE39_4FED_8226_084809D277F3_.wvu.PrintArea" hidden="1" oldHidden="1">
    <formula>'программы '!$A$1:$F$815</formula>
    <oldFormula>'программы '!$A$1:$F$815</oldFormula>
  </rdn>
  <rdn rId="0" localSheetId="1" customView="1" name="Z_D9B90A86_BE39_4FED_8226_084809D277F3_.wvu.Rows" hidden="1" oldHidden="1">
    <formula>'программы '!$272:$276</formula>
    <oldFormula>'программы '!$272:$276</oldFormula>
  </rdn>
  <rdn rId="0" localSheetId="1" customView="1" name="Z_D9B90A86_BE39_4FED_8226_084809D277F3_.wvu.FilterData" hidden="1" oldHidden="1">
    <formula>'программы '!$A$1:$A$828</formula>
    <oldFormula>'программы '!$A$1:$A$828</oldFormula>
  </rdn>
  <rcv guid="{D9B90A86-BE39-4FED-8226-084809D277F3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744" sId="1" ref="A664:XFD664" action="insertRow"/>
  <rrc rId="2745" sId="1" ref="A664:XFD664" action="insertRow"/>
  <rrc rId="2746" sId="1" ref="A664:XFD664" action="insertRow"/>
  <rrc rId="2747" sId="1" ref="A664:XFD664" action="insertRow"/>
  <rcc rId="2748" sId="1">
    <nc r="A664" t="inlineStr">
      <is>
        <t>Софинансирование на противоаварийные мероприятия и ремонтно-восстановительные работы по проведению текущего ремонта жилищного фонда</t>
      </is>
    </nc>
  </rcc>
  <rcc rId="2749" sId="1">
    <nc r="A665" t="inlineStr">
      <is>
        <t>Закупка товаров, работ и услуг для обеспечения государственных (муниципальных) нужд</t>
      </is>
    </nc>
  </rcc>
  <rcc rId="2750" sId="1">
    <nc r="A666" t="inlineStr">
      <is>
        <t>Иные закупки товаров,работ и услуг для обеспечения государственных (муниципальных) нужд</t>
      </is>
    </nc>
  </rcc>
  <rcc rId="2751" sId="1">
    <nc r="A667" t="inlineStr">
      <is>
        <t xml:space="preserve">Прочая закупка товаров, работ и услуг </t>
      </is>
    </nc>
  </rcc>
  <rcc rId="2752" sId="1" numFmtId="34">
    <nc r="D667">
      <v>9233380</v>
    </nc>
  </rcc>
  <rcc rId="2753" sId="1" numFmtId="34">
    <nc r="E667">
      <v>0</v>
    </nc>
  </rcc>
  <rcc rId="2754" sId="1" numFmtId="34">
    <nc r="F667">
      <v>0</v>
    </nc>
  </rcc>
  <rcc rId="2755" sId="1">
    <nc r="D666">
      <f>D667</f>
    </nc>
  </rcc>
  <rcc rId="2756" sId="1">
    <nc r="D665">
      <f>D666</f>
    </nc>
  </rcc>
  <rcc rId="2757" sId="1">
    <nc r="D664">
      <f>D665</f>
    </nc>
  </rcc>
  <rcc rId="2758" sId="1">
    <nc r="E666">
      <f>E667</f>
    </nc>
  </rcc>
  <rcc rId="2759" sId="1">
    <nc r="F666">
      <f>F667</f>
    </nc>
  </rcc>
  <rcc rId="2760" sId="1">
    <nc r="E665">
      <f>E666</f>
    </nc>
  </rcc>
  <rcc rId="2761" sId="1">
    <nc r="F665">
      <f>F666</f>
    </nc>
  </rcc>
  <rcc rId="2762" sId="1">
    <nc r="E664">
      <f>E665</f>
    </nc>
  </rcc>
  <rcc rId="2763" sId="1">
    <nc r="F664">
      <f>F665</f>
    </nc>
  </rcc>
  <rcc rId="2764" sId="1">
    <nc r="C667">
      <v>244</v>
    </nc>
  </rcc>
  <rcc rId="2765" sId="1">
    <nc r="C666">
      <v>240</v>
    </nc>
  </rcc>
  <rcc rId="2766" sId="1">
    <nc r="C665">
      <v>200</v>
    </nc>
  </rcc>
  <rcc rId="2767" sId="1">
    <nc r="B664" t="inlineStr">
      <is>
        <t>59 0 00 83659</t>
      </is>
    </nc>
  </rcc>
  <rcc rId="2768" sId="1">
    <nc r="B665" t="inlineStr">
      <is>
        <t>59 0 00 83659</t>
      </is>
    </nc>
  </rcc>
  <rcc rId="2769" sId="1">
    <nc r="B666" t="inlineStr">
      <is>
        <t>59 0 00 83659</t>
      </is>
    </nc>
  </rcc>
  <rcc rId="2770" sId="1">
    <nc r="B667" t="inlineStr">
      <is>
        <t>59 0 00 83659</t>
      </is>
    </nc>
  </rcc>
  <rcv guid="{30E81E54-DD45-4653-9DCD-548F6723F554}" action="delete"/>
  <rdn rId="0" localSheetId="1" customView="1" name="Z_30E81E54_DD45_4653_9DCD_548F6723F554_.wvu.PrintArea" hidden="1" oldHidden="1">
    <formula>'программы '!$A$1:$F$754</formula>
    <oldFormula>'программы '!$A$1:$F$754</oldFormula>
  </rdn>
  <rdn rId="0" localSheetId="1" customView="1" name="Z_30E81E54_DD45_4653_9DCD_548F6723F554_.wvu.Rows" hidden="1" oldHidden="1">
    <formula>'программы '!$232:$236</formula>
    <oldFormula>'программы '!$232:$236</oldFormula>
  </rdn>
  <rdn rId="0" localSheetId="1" customView="1" name="Z_30E81E54_DD45_4653_9DCD_548F6723F554_.wvu.FilterData" hidden="1" oldHidden="1">
    <formula>'программы '!$A$1:$A$767</formula>
    <oldFormula>'программы '!$A$1:$A$767</oldFormula>
  </rdn>
  <rcv guid="{30E81E54-DD45-4653-9DCD-548F6723F554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295" sId="1" ref="A465:XFD465" action="insertRow"/>
  <rrc rId="3296" sId="1" ref="A465:XFD465" action="insertRow"/>
  <rrc rId="3297" sId="1" ref="A465:XFD465" action="insertRow"/>
  <rrc rId="3298" sId="1" ref="A465:XFD465" action="insertRow"/>
  <rcc rId="3299" sId="1" xfDxf="1" dxf="1">
    <nc r="B465" t="inlineStr">
      <is>
        <t>17 0 00 Э4950</t>
      </is>
    </nc>
    <ndxf>
      <font>
        <name val="Times New Roman Cyr"/>
        <scheme val="none"/>
      </font>
      <numFmt numFmtId="30" formatCode="@"/>
      <alignment horizontal="center" vertical="center" readingOrder="0"/>
      <border outline="0">
        <bottom style="thin">
          <color indexed="64"/>
        </bottom>
      </border>
    </ndxf>
  </rcc>
  <rcc rId="3300" sId="1" xfDxf="1" dxf="1">
    <nc r="B466" t="inlineStr">
      <is>
        <t>17 0 00 Э4950</t>
      </is>
    </nc>
    <ndxf>
      <font>
        <name val="Times New Roman Cyr"/>
        <scheme val="none"/>
      </font>
      <numFmt numFmtId="30" formatCode="@"/>
      <alignment horizontal="center" vertical="center" readingOrder="0"/>
      <border outline="0">
        <bottom style="thin">
          <color indexed="64"/>
        </bottom>
      </border>
    </ndxf>
  </rcc>
  <rcc rId="3301" sId="1" xfDxf="1" dxf="1">
    <nc r="B467" t="inlineStr">
      <is>
        <t>17 0 00 Э4950</t>
      </is>
    </nc>
    <ndxf>
      <font>
        <name val="Times New Roman Cyr"/>
        <scheme val="none"/>
      </font>
      <numFmt numFmtId="30" formatCode="@"/>
      <alignment horizontal="center" vertical="center" readingOrder="0"/>
      <border outline="0">
        <bottom style="thin">
          <color indexed="64"/>
        </bottom>
      </border>
    </ndxf>
  </rcc>
  <rcc rId="3302" sId="1" xfDxf="1" dxf="1">
    <nc r="B468" t="inlineStr">
      <is>
        <t>17 0 00 Э4950</t>
      </is>
    </nc>
    <ndxf>
      <font>
        <name val="Times New Roman Cyr"/>
        <scheme val="none"/>
      </font>
      <numFmt numFmtId="30" formatCode="@"/>
      <alignment horizontal="center" vertical="center" readingOrder="0"/>
      <border outline="0">
        <bottom style="thin">
          <color indexed="64"/>
        </bottom>
      </border>
    </ndxf>
  </rcc>
  <rcc rId="3303" sId="1">
    <nc r="C468" t="inlineStr">
      <is>
        <t>244</t>
      </is>
    </nc>
  </rcc>
  <rcc rId="3304" sId="1">
    <nc r="C467" t="inlineStr">
      <is>
        <t>240</t>
      </is>
    </nc>
  </rcc>
  <rcc rId="3305" sId="1">
    <nc r="C466" t="inlineStr">
      <is>
        <t>200</t>
      </is>
    </nc>
  </rcc>
  <rcc rId="3306" sId="1" xfDxf="1" dxf="1">
    <nc r="A465" t="inlineStr">
      <is>
        <t>Мероприятия по проведению информационного освещения всероссийского онлайн-голосования по выбору общественных территорий, планируемых к благоустройству на территории Архангельской области</t>
      </is>
    </nc>
    <ndxf>
      <font>
        <name val="Times New Roman"/>
        <scheme val="none"/>
      </font>
      <alignment horizontal="justify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307" sId="1" xfDxf="1" dxf="1">
    <nc r="A466" t="inlineStr">
      <is>
        <t>Закупка товаров, работ и услуг для обеспечения государственных (муниципальных) нужд</t>
      </is>
    </nc>
    <ndxf>
      <font>
        <name val="Times New Roman"/>
        <scheme val="none"/>
      </font>
      <alignment horizontal="justify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308" sId="1" xfDxf="1" dxf="1">
    <nc r="A467" t="inlineStr">
      <is>
        <t>Иные закупки товаров, работ и услуг для обеспечения государственных (муниципальных) нужд</t>
      </is>
    </nc>
    <ndxf>
      <font>
        <name val="Times New Roman"/>
        <scheme val="none"/>
      </font>
      <alignment horizontal="justify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309" sId="1" xfDxf="1" dxf="1">
    <nc r="A468" t="inlineStr">
      <is>
        <t>Прочая закупка товаров, работ и услуг</t>
      </is>
    </nc>
    <ndxf>
      <font>
        <name val="Times New Roman"/>
        <scheme val="none"/>
      </font>
      <alignment horizontal="justify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1" sqref="A465:XFD468">
    <dxf>
      <fill>
        <patternFill patternType="solid">
          <bgColor theme="6" tint="0.59999389629810485"/>
        </patternFill>
      </fill>
    </dxf>
  </rfmt>
  <rcc rId="3310" sId="1">
    <nc r="D467">
      <f>D468</f>
    </nc>
  </rcc>
  <rcc rId="3311" sId="1">
    <nc r="E467">
      <f>E468</f>
    </nc>
  </rcc>
  <rcc rId="3312" sId="1">
    <nc r="F467">
      <f>F468</f>
    </nc>
  </rcc>
  <rcc rId="3313" sId="1">
    <nc r="D466">
      <f>D467</f>
    </nc>
  </rcc>
  <rcc rId="3314" sId="1">
    <nc r="E466">
      <f>E467</f>
    </nc>
  </rcc>
  <rcc rId="3315" sId="1">
    <nc r="F466">
      <f>F467</f>
    </nc>
  </rcc>
  <rcc rId="3316" sId="1">
    <nc r="D465">
      <f>D466</f>
    </nc>
  </rcc>
  <rcc rId="3317" sId="1">
    <nc r="E465">
      <f>E466</f>
    </nc>
  </rcc>
  <rcc rId="3318" sId="1">
    <nc r="F465">
      <f>F466</f>
    </nc>
  </rcc>
  <rcc rId="3319" sId="1">
    <oc r="D460">
      <f>D469+D461</f>
    </oc>
    <nc r="D460">
      <f>D469+D461+D465</f>
    </nc>
  </rcc>
  <rcc rId="3320" sId="1">
    <oc r="E460">
      <f>E469+E461</f>
    </oc>
    <nc r="E460">
      <f>E469+E461+E465</f>
    </nc>
  </rcc>
  <rcc rId="3321" sId="1">
    <oc r="F460">
      <f>F469+F461</f>
    </oc>
    <nc r="F460">
      <f>F469+F461+F465</f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322" sId="1" ref="A469:XFD469" action="insertRow"/>
  <rcc rId="3323" sId="1" xfDxf="1" dxf="1">
    <nc r="B469" t="inlineStr">
      <is>
        <t>17 0 F2 00000</t>
      </is>
    </nc>
    <ndxf>
      <font>
        <name val="Times New Roman Cyr"/>
        <scheme val="none"/>
      </font>
      <numFmt numFmtId="30" formatCode="@"/>
      <fill>
        <patternFill patternType="solid">
          <bgColor theme="6" tint="0.59999389629810485"/>
        </patternFill>
      </fill>
      <alignment horizontal="center" vertical="center" readingOrder="0"/>
      <border outline="0">
        <bottom style="thin">
          <color indexed="64"/>
        </bottom>
      </border>
    </ndxf>
  </rcc>
  <rcc rId="3324" sId="1">
    <oc r="B470" t="inlineStr">
      <is>
        <t>17 0 F2 55550</t>
      </is>
    </oc>
    <nc r="B470" t="inlineStr">
      <is>
        <t>17 0 F2 55551</t>
      </is>
    </nc>
  </rcc>
  <rcc rId="3325" sId="1">
    <oc r="B471" t="inlineStr">
      <is>
        <t>17 0 F2 55550</t>
      </is>
    </oc>
    <nc r="B471" t="inlineStr">
      <is>
        <t>17 0 F2 55551</t>
      </is>
    </nc>
  </rcc>
  <rcc rId="3326" sId="1">
    <oc r="B472" t="inlineStr">
      <is>
        <t>17 0 F2 55550</t>
      </is>
    </oc>
    <nc r="B472" t="inlineStr">
      <is>
        <t>17 0 F2 55551</t>
      </is>
    </nc>
  </rcc>
  <rcc rId="3327" sId="1">
    <oc r="B473" t="inlineStr">
      <is>
        <t>17 0 F2 55550</t>
      </is>
    </oc>
    <nc r="B473" t="inlineStr">
      <is>
        <t>17 0 F2 55551</t>
      </is>
    </nc>
  </rcc>
  <rfmt sheetId="1" sqref="B470:B473">
    <dxf>
      <fill>
        <patternFill patternType="solid">
          <bgColor theme="6" tint="0.59999389629810485"/>
        </patternFill>
      </fill>
    </dxf>
  </rfmt>
  <rcc rId="3328" sId="1" xfDxf="1" dxf="1">
    <nc r="A469" t="inlineStr">
      <is>
        <t>Мероприятия в рамках регионального проекта "Формирование комфортной городской среды в Архангельской области"</t>
      </is>
    </nc>
    <ndxf>
      <font>
        <name val="Times New Roman"/>
        <scheme val="none"/>
      </font>
      <fill>
        <patternFill patternType="solid">
          <bgColor theme="6" tint="0.59999389629810485"/>
        </patternFill>
      </fill>
      <alignment horizontal="justify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329" sId="1">
    <nc r="D469">
      <f>D470</f>
    </nc>
  </rcc>
  <rcc rId="3330" sId="1">
    <nc r="E469">
      <f>E470</f>
    </nc>
  </rcc>
  <rcc rId="3331" sId="1">
    <nc r="F469">
      <f>F470</f>
    </nc>
  </rcc>
  <rcc rId="3332" sId="1">
    <oc r="D472">
      <f>D473</f>
    </oc>
    <nc r="D472">
      <f>D473</f>
    </nc>
  </rcc>
  <rcc rId="3333" sId="1">
    <oc r="E472">
      <f>E473</f>
    </oc>
    <nc r="E472">
      <f>E473</f>
    </nc>
  </rcc>
  <rcc rId="3334" sId="1">
    <oc r="F472">
      <f>F473</f>
    </oc>
    <nc r="F472">
      <f>F473</f>
    </nc>
  </rcc>
  <rcc rId="3335" sId="1">
    <oc r="D471">
      <f>D472</f>
    </oc>
    <nc r="D471">
      <f>D472</f>
    </nc>
  </rcc>
  <rcc rId="3336" sId="1">
    <oc r="E471">
      <f>E472</f>
    </oc>
    <nc r="E471">
      <f>E472</f>
    </nc>
  </rcc>
  <rcc rId="3337" sId="1">
    <oc r="F471">
      <f>F472</f>
    </oc>
    <nc r="F471">
      <f>F472</f>
    </nc>
  </rcc>
  <rcc rId="3338" sId="1">
    <oc r="D470">
      <f>D472</f>
    </oc>
    <nc r="D470">
      <f>D471</f>
    </nc>
  </rcc>
  <rcc rId="3339" sId="1">
    <oc r="E470">
      <f>E472</f>
    </oc>
    <nc r="E470">
      <f>E471</f>
    </nc>
  </rcc>
  <rcc rId="3340" sId="1">
    <oc r="F470">
      <f>F472</f>
    </oc>
    <nc r="F470">
      <f>F471</f>
    </nc>
  </rcc>
  <rfmt sheetId="1" sqref="A469" start="0" length="2147483647">
    <dxf>
      <font>
        <i/>
      </font>
    </dxf>
  </rfmt>
  <rfmt sheetId="1" sqref="A469" start="0" length="2147483647">
    <dxf>
      <font>
        <i val="0"/>
      </font>
    </dxf>
  </rfmt>
  <rcc rId="3341" sId="1">
    <oc r="D460">
      <f>D470+D461+D465</f>
    </oc>
    <nc r="D460">
      <f>D469+D461+D465</f>
    </nc>
  </rcc>
  <rcc rId="3342" sId="1">
    <oc r="E460">
      <f>E470+E461+E465</f>
    </oc>
    <nc r="E460">
      <f>E469+E461+E465</f>
    </nc>
  </rcc>
  <rcc rId="3343" sId="1">
    <oc r="F460">
      <f>F470+F461+F465</f>
    </oc>
    <nc r="F460">
      <f>F469+F461+F465</f>
    </nc>
  </rcc>
  <rcv guid="{D9B90A86-BE39-4FED-8226-084809D277F3}" action="delete"/>
  <rdn rId="0" localSheetId="1" customView="1" name="Z_D9B90A86_BE39_4FED_8226_084809D277F3_.wvu.PrintArea" hidden="1" oldHidden="1">
    <formula>'программы '!$A$1:$F$820</formula>
    <oldFormula>'программы '!$A$1:$F$820</oldFormula>
  </rdn>
  <rdn rId="0" localSheetId="1" customView="1" name="Z_D9B90A86_BE39_4FED_8226_084809D277F3_.wvu.Rows" hidden="1" oldHidden="1">
    <formula>'программы '!$272:$276</formula>
    <oldFormula>'программы '!$272:$276</oldFormula>
  </rdn>
  <rdn rId="0" localSheetId="1" customView="1" name="Z_D9B90A86_BE39_4FED_8226_084809D277F3_.wvu.FilterData" hidden="1" oldHidden="1">
    <formula>'программы '!$A$1:$A$833</formula>
    <oldFormula>'программы '!$A$1:$A$833</oldFormula>
  </rdn>
  <rcv guid="{D9B90A86-BE39-4FED-8226-084809D277F3}" action="add"/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347" sId="1" ref="A802:XFD802" action="insertRow"/>
  <rrc rId="3348" sId="1" ref="A802:XFD802" action="insertRow"/>
  <rrc rId="3349" sId="1" ref="A802:XFD802" action="insertRow"/>
  <rrc rId="3350" sId="1" ref="A802:XFD802" action="insertRow"/>
  <rfmt sheetId="1" sqref="A802:A805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rc rId="3351" sId="1" ref="A803:XFD803" action="deleteRow">
    <rfmt sheetId="1" xfDxf="1" sqref="A803:XFD803" start="0" length="0">
      <dxf>
        <font>
          <i/>
          <name val="Times New Roman"/>
          <scheme val="none"/>
        </font>
        <alignment vertical="center" readingOrder="0"/>
      </dxf>
    </rfmt>
    <rfmt sheetId="1" sqref="A803" start="0" length="0">
      <dxf>
        <font>
          <i val="0"/>
          <name val="Times New Roman"/>
          <scheme val="none"/>
        </font>
        <alignment horizontal="justify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803" start="0" length="0">
      <dxf>
        <font>
          <i val="0"/>
          <name val="Times New Roman"/>
          <scheme val="none"/>
        </font>
        <numFmt numFmtId="30" formatCode="@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803" start="0" length="0">
      <dxf>
        <font>
          <i val="0"/>
          <name val="Times New Roman"/>
          <scheme val="none"/>
        </font>
        <numFmt numFmtId="30" formatCode="@"/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" s="1" sqref="D803" start="0" length="0">
      <dxf>
        <font>
          <i val="0"/>
          <sz val="10"/>
          <color auto="1"/>
          <name val="Times New Roman"/>
          <scheme val="none"/>
        </font>
        <numFmt numFmtId="164" formatCode="_-* #,##0.00_р_._-;\-* #,##0.00_р_._-;_-* &quot;-&quot;??_р_._-;_-@_-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803" start="0" length="0">
      <dxf>
        <font>
          <i val="0"/>
          <sz val="10"/>
          <color auto="1"/>
          <name val="Times New Roman"/>
          <scheme val="none"/>
        </font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803" start="0" length="0">
      <dxf>
        <font>
          <i val="0"/>
          <sz val="10"/>
          <color auto="1"/>
          <name val="Times New Roman"/>
          <scheme val="none"/>
        </font>
        <numFmt numFmtId="164" formatCode="_-* #,##0.00_р_._-;\-* #,##0.00_р_._-;_-* &quot;-&quot;??_р_._-;_-@_-"/>
        <border outline="0">
          <right style="thin">
            <color indexed="64"/>
          </right>
          <bottom style="thin">
            <color indexed="64"/>
          </bottom>
        </border>
      </dxf>
    </rfmt>
  </rrc>
  <rcc rId="3352" sId="1">
    <nc r="C804" t="inlineStr">
      <is>
        <t>880</t>
      </is>
    </nc>
  </rcc>
  <rcc rId="3353" sId="1">
    <nc r="C803" t="inlineStr">
      <is>
        <t>800</t>
      </is>
    </nc>
  </rcc>
  <rcc rId="3354" sId="1" xfDxf="1" dxf="1">
    <nc r="B802" t="inlineStr">
      <is>
        <t>64 0 00 81170</t>
      </is>
    </nc>
    <ndxf>
      <font>
        <name val="Times New Roman"/>
        <scheme val="none"/>
      </font>
      <numFmt numFmtId="30" formatCode="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55" sId="1" xfDxf="1" dxf="1">
    <nc r="B803" t="inlineStr">
      <is>
        <t>64 0 00 81170</t>
      </is>
    </nc>
    <ndxf>
      <font>
        <name val="Times New Roman"/>
        <scheme val="none"/>
      </font>
      <numFmt numFmtId="30" formatCode="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56" sId="1" xfDxf="1" dxf="1">
    <nc r="B804" t="inlineStr">
      <is>
        <t>64 0 00 81170</t>
      </is>
    </nc>
    <ndxf>
      <font>
        <name val="Times New Roman"/>
        <scheme val="none"/>
      </font>
      <numFmt numFmtId="30" formatCode="@"/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57" sId="1" xfDxf="1" dxf="1">
    <nc r="A802" t="inlineStr">
      <is>
        <t>Оказание содействия в подготовке и проведении выборов Президента Российской Федерации и информирования избирателей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58" sId="1" xfDxf="1" dxf="1">
    <nc r="A803" t="inlineStr">
      <is>
        <t xml:space="preserve">Иные бюджетные ассигнования 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59" sId="1" xfDxf="1" dxf="1">
    <nc r="A804" t="inlineStr">
      <is>
        <t>Специальные расходы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360" sId="1">
    <nc r="D803">
      <f>D804</f>
    </nc>
  </rcc>
  <rcc rId="3361" sId="1" odxf="1" dxf="1">
    <nc r="E803">
      <f>E804</f>
    </nc>
    <odxf>
      <border outline="0">
        <left/>
      </border>
    </odxf>
    <ndxf>
      <border outline="0">
        <left style="thin">
          <color indexed="64"/>
        </left>
      </border>
    </ndxf>
  </rcc>
  <rcc rId="3362" sId="1" odxf="1" dxf="1">
    <nc r="F803">
      <f>F804</f>
    </nc>
    <odxf>
      <border outline="0">
        <left/>
        <top/>
      </border>
    </odxf>
    <ndxf>
      <border outline="0">
        <left style="thin">
          <color indexed="64"/>
        </left>
        <top style="thin">
          <color indexed="64"/>
        </top>
      </border>
    </ndxf>
  </rcc>
  <rcc rId="3363" sId="1">
    <nc r="D802">
      <f>D803</f>
    </nc>
  </rcc>
  <rcc rId="3364" sId="1" odxf="1" dxf="1">
    <nc r="E802">
      <f>E803</f>
    </nc>
    <odxf>
      <border outline="0">
        <left/>
      </border>
    </odxf>
    <ndxf>
      <border outline="0">
        <left style="thin">
          <color indexed="64"/>
        </left>
      </border>
    </ndxf>
  </rcc>
  <rcc rId="3365" sId="1" odxf="1" dxf="1">
    <nc r="F802">
      <f>F803</f>
    </nc>
    <odxf>
      <border outline="0">
        <left/>
        <top/>
      </border>
    </odxf>
    <ndxf>
      <border outline="0">
        <left style="thin">
          <color indexed="64"/>
        </left>
        <top style="thin">
          <color indexed="64"/>
        </top>
      </border>
    </ndxf>
  </rcc>
  <rcc rId="3366" sId="1">
    <oc r="D792">
      <f>D794+D796+D799</f>
    </oc>
    <nc r="D792">
      <f>D794+D796+D799+D802</f>
    </nc>
  </rcc>
  <rcc rId="3367" sId="1">
    <oc r="E792">
      <f>E794+E796+E799</f>
    </oc>
    <nc r="E792">
      <f>E794+E796+E799+E802</f>
    </nc>
  </rcc>
  <rcc rId="3368" sId="1">
    <oc r="F792">
      <f>F794+F796+F799</f>
    </oc>
    <nc r="F792">
      <f>F794+F796+F799+F802</f>
    </nc>
  </rcc>
  <rcv guid="{D9B90A86-BE39-4FED-8226-084809D277F3}" action="delete"/>
  <rdn rId="0" localSheetId="1" customView="1" name="Z_D9B90A86_BE39_4FED_8226_084809D277F3_.wvu.PrintArea" hidden="1" oldHidden="1">
    <formula>'программы '!$A$1:$F$823</formula>
    <oldFormula>'программы '!$A$1:$F$823</oldFormula>
  </rdn>
  <rdn rId="0" localSheetId="1" customView="1" name="Z_D9B90A86_BE39_4FED_8226_084809D277F3_.wvu.Rows" hidden="1" oldHidden="1">
    <formula>'программы '!$272:$276</formula>
    <oldFormula>'программы '!$272:$276</oldFormula>
  </rdn>
  <rdn rId="0" localSheetId="1" customView="1" name="Z_D9B90A86_BE39_4FED_8226_084809D277F3_.wvu.FilterData" hidden="1" oldHidden="1">
    <formula>'программы '!$A$1:$A$836</formula>
    <oldFormula>'программы '!$A$1:$A$836</oldFormula>
  </rdn>
  <rcv guid="{D9B90A86-BE39-4FED-8226-084809D277F3}" action="add"/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802:XFD804">
    <dxf>
      <fill>
        <patternFill patternType="solid">
          <bgColor theme="6" tint="0.59999389629810485"/>
        </patternFill>
      </fill>
    </dxf>
  </rfmt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72" sId="1">
    <oc r="B71" t="inlineStr">
      <is>
        <t>03 2 00 R3032</t>
      </is>
    </oc>
    <nc r="B71" t="inlineStr">
      <is>
        <t>03 2 00 53032</t>
      </is>
    </nc>
  </rcc>
  <rcc rId="3373" sId="1">
    <oc r="B72" t="inlineStr">
      <is>
        <t>03 2 00 R3032</t>
      </is>
    </oc>
    <nc r="B72" t="inlineStr">
      <is>
        <t>03 2 00 53032</t>
      </is>
    </nc>
  </rcc>
  <rcc rId="3374" sId="1">
    <oc r="B73" t="inlineStr">
      <is>
        <t>03 2 00 R3032</t>
      </is>
    </oc>
    <nc r="B73" t="inlineStr">
      <is>
        <t>03 2 00 53032</t>
      </is>
    </nc>
  </rcc>
  <rcc rId="3375" sId="1">
    <oc r="B74" t="inlineStr">
      <is>
        <t>03 2 00 R3032</t>
      </is>
    </oc>
    <nc r="B74" t="inlineStr">
      <is>
        <t>03 2 00 53032</t>
      </is>
    </nc>
  </rcc>
  <rrc rId="3376" sId="1" ref="A75:XFD75" action="insertRow">
    <undo index="0" exp="area" ref3D="1" dr="$A$272:$XFD$276" dn="Z_D9B90A86_BE39_4FED_8226_084809D277F3_.wvu.Rows" sId="1"/>
    <undo index="0" exp="area" ref3D="1" dr="$A$272:$XFD$276" dn="Z_30E81E54_DD45_4653_9DCD_548F6723F554_.wvu.Rows" sId="1"/>
  </rrc>
  <rrc rId="3377" sId="1" ref="A75:XFD75" action="insertRow">
    <undo index="0" exp="area" ref3D="1" dr="$A$273:$XFD$277" dn="Z_D9B90A86_BE39_4FED_8226_084809D277F3_.wvu.Rows" sId="1"/>
    <undo index="0" exp="area" ref3D="1" dr="$A$273:$XFD$277" dn="Z_30E81E54_DD45_4653_9DCD_548F6723F554_.wvu.Rows" sId="1"/>
  </rrc>
  <rrc rId="3378" sId="1" ref="A75:XFD75" action="insertRow">
    <undo index="0" exp="area" ref3D="1" dr="$A$274:$XFD$278" dn="Z_D9B90A86_BE39_4FED_8226_084809D277F3_.wvu.Rows" sId="1"/>
    <undo index="0" exp="area" ref3D="1" dr="$A$274:$XFD$278" dn="Z_30E81E54_DD45_4653_9DCD_548F6723F554_.wvu.Rows" sId="1"/>
  </rrc>
  <rrc rId="3379" sId="1" ref="A75:XFD75" action="insertRow">
    <undo index="0" exp="area" ref3D="1" dr="$A$275:$XFD$279" dn="Z_D9B90A86_BE39_4FED_8226_084809D277F3_.wvu.Rows" sId="1"/>
    <undo index="0" exp="area" ref3D="1" dr="$A$275:$XFD$279" dn="Z_30E81E54_DD45_4653_9DCD_548F6723F554_.wvu.Rows" sId="1"/>
  </rrc>
  <rcc rId="3380" sId="1">
    <nc r="B75" t="inlineStr">
      <is>
        <t>03 2 00 R3032</t>
      </is>
    </nc>
  </rcc>
  <rcc rId="3381" sId="1" xfDxf="1" dxf="1">
    <nc r="B76" t="inlineStr">
      <is>
        <t>03 2 00 R3032</t>
      </is>
    </nc>
    <ndxf>
      <font>
        <name val="Times New Roman Cyr"/>
        <scheme val="none"/>
      </font>
      <fill>
        <patternFill patternType="solid">
          <bgColor theme="6" tint="0.59999389629810485"/>
        </patternFill>
      </fill>
      <alignment horizontal="center" readingOrder="0"/>
      <border outline="0">
        <top style="thin">
          <color indexed="64"/>
        </top>
        <bottom style="thin">
          <color indexed="64"/>
        </bottom>
      </border>
    </ndxf>
  </rcc>
  <rcc rId="3382" sId="1" xfDxf="1" dxf="1">
    <nc r="B77" t="inlineStr">
      <is>
        <t>03 2 00 R3032</t>
      </is>
    </nc>
    <ndxf>
      <font>
        <name val="Times New Roman Cyr"/>
        <scheme val="none"/>
      </font>
      <fill>
        <patternFill patternType="solid">
          <bgColor theme="6" tint="0.59999389629810485"/>
        </patternFill>
      </fill>
      <alignment horizontal="center" readingOrder="0"/>
      <border outline="0">
        <top style="thin">
          <color indexed="64"/>
        </top>
        <bottom style="thin">
          <color indexed="64"/>
        </bottom>
      </border>
    </ndxf>
  </rcc>
  <rcc rId="3383" sId="1" xfDxf="1" dxf="1">
    <nc r="B78" t="inlineStr">
      <is>
        <t>03 2 00 R3032</t>
      </is>
    </nc>
    <ndxf>
      <font>
        <name val="Times New Roman Cyr"/>
        <scheme val="none"/>
      </font>
      <fill>
        <patternFill patternType="solid">
          <bgColor theme="6" tint="0.59999389629810485"/>
        </patternFill>
      </fill>
      <alignment horizontal="center" readingOrder="0"/>
      <border outline="0">
        <top style="thin">
          <color indexed="64"/>
        </top>
        <bottom style="thin">
          <color indexed="64"/>
        </bottom>
      </border>
    </ndxf>
  </rcc>
  <rcc rId="3384" sId="1">
    <nc r="C78">
      <v>612</v>
    </nc>
  </rcc>
  <rcc rId="3385" sId="1">
    <nc r="C77">
      <v>610</v>
    </nc>
  </rcc>
  <rcc rId="3386" sId="1">
    <nc r="C76">
      <v>600</v>
    </nc>
  </rcc>
  <rcc rId="3387" sId="1" xfDxf="1" dxf="1">
    <nc r="A75" t="inlineStr">
      <is>
    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    </is>
    </nc>
    <ndxf>
      <font>
        <name val="Times New Roman Cyr"/>
        <scheme val="none"/>
      </font>
      <alignment horizontal="justify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388" sId="1" xfDxf="1" dxf="1">
    <nc r="A76" t="inlineStr">
      <is>
        <t>Предоставление субсидий бюджетным, автономным учреждениям и иным некоммерческим организациям</t>
      </is>
    </nc>
    <ndxf>
      <font>
        <name val="Times New Roman Cyr"/>
        <scheme val="none"/>
      </font>
      <alignment horizontal="justify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389" sId="1" xfDxf="1" dxf="1">
    <nc r="A77" t="inlineStr">
      <is>
        <t>Субсидии бюджетным учреждениям</t>
      </is>
    </nc>
    <ndxf>
      <font>
        <name val="Times New Roman Cyr"/>
        <scheme val="none"/>
      </font>
      <alignment horizontal="justify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390" sId="1" xfDxf="1" dxf="1">
    <nc r="A78" t="inlineStr">
      <is>
        <t>Субсидии бюджетным учреждениям на  иные цели</t>
      </is>
    </nc>
    <ndxf>
      <font>
        <name val="Times New Roman Cyr"/>
        <scheme val="none"/>
      </font>
      <alignment horizontal="justify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391" sId="1">
    <nc r="D77">
      <f>D78</f>
    </nc>
  </rcc>
  <rcc rId="3392" sId="1">
    <nc r="E77">
      <f>E78</f>
    </nc>
  </rcc>
  <rcc rId="3393" sId="1">
    <nc r="F77">
      <f>F78</f>
    </nc>
  </rcc>
  <rcc rId="3394" sId="1">
    <nc r="D75">
      <f>D76</f>
    </nc>
  </rcc>
  <rcc rId="3395" sId="1">
    <nc r="E75">
      <f>E76</f>
    </nc>
  </rcc>
  <rcc rId="3396" sId="1">
    <nc r="F75">
      <f>F76</f>
    </nc>
  </rcc>
  <rcc rId="3397" sId="1">
    <nc r="D76">
      <f>D77</f>
    </nc>
  </rcc>
  <rcc rId="3398" sId="1">
    <nc r="E76">
      <f>E77</f>
    </nc>
  </rcc>
  <rcc rId="3399" sId="1">
    <nc r="F76">
      <f>F77</f>
    </nc>
  </rcc>
  <rcc rId="3400" sId="1">
    <oc r="D70">
      <f>D79+D83+D95+D100+D111+D150+D154+D158+D71+D115+D123+D136+D127+D119+D91+D107+D145+D87</f>
    </oc>
    <nc r="D70">
      <f>D79+D83+D95+D100+D111+D150+D154+D158+D71+D115+D123+D136+D127+D119+D91+D107+D145+D87+D75</f>
    </nc>
  </rcc>
  <rcc rId="3401" sId="1">
    <oc r="E70">
      <f>E79+E83+E95+E100+E111+E150+E154+E158+E71+E115+E123+E136+E127+E119+E91+E107+E145+E87</f>
    </oc>
    <nc r="E70">
      <f>E79+E83+E95+E100+E111+E150+E154+E158+E71+E115+E123+E136+E127+E119+E91+E107+E145+E87+E75</f>
    </nc>
  </rcc>
  <rcc rId="3402" sId="1">
    <oc r="F70">
      <f>F79+F83+F95+F100+F111+F150+F154+F158+F71+F115+F123+F136+F127+F119+F91+F107+F145+F87</f>
    </oc>
    <nc r="F70">
      <f>F79+F83+F95+F100+F111+F150+F154+F158+F71+F115+F123+F136+F127+F119+F91+F107+F145+F87+F75</f>
    </nc>
  </rcc>
  <rfmt sheetId="1" sqref="B71:B74">
    <dxf>
      <fill>
        <patternFill>
          <bgColor theme="0"/>
        </patternFill>
      </fill>
    </dxf>
  </rfmt>
  <rcc rId="3403" sId="1">
    <oc r="B353" t="inlineStr">
      <is>
        <t>10 1 00 L576Л</t>
      </is>
    </oc>
    <nc r="B353" t="inlineStr">
      <is>
        <t>10 1 00 L5760</t>
      </is>
    </nc>
  </rcc>
  <rcc rId="3404" sId="1">
    <oc r="B355" t="inlineStr">
      <is>
        <t>10 1 00 L576Л</t>
      </is>
    </oc>
    <nc r="B355" t="inlineStr">
      <is>
        <t>10 1 00 L5760</t>
      </is>
    </nc>
  </rcc>
  <rcc rId="3405" sId="1">
    <oc r="B354" t="inlineStr">
      <is>
        <t>10 1 00 L576Л</t>
      </is>
    </oc>
    <nc r="B354" t="inlineStr">
      <is>
        <t>10 1 00 L5760</t>
      </is>
    </nc>
  </rcc>
  <rcc rId="3406" sId="1">
    <oc r="B356" t="inlineStr">
      <is>
        <t>10 1 00 L576Л</t>
      </is>
    </oc>
    <nc r="B356" t="inlineStr">
      <is>
        <t>10 1 00 L5760</t>
      </is>
    </nc>
  </rcc>
  <rfmt sheetId="1" sqref="B353:B356">
    <dxf>
      <fill>
        <patternFill>
          <bgColor theme="0"/>
        </patternFill>
      </fill>
    </dxf>
  </rfmt>
  <rrc rId="3407" sId="1" ref="A357:XFD357" action="insertRow"/>
  <rrc rId="3408" sId="1" ref="A357:XFD357" action="insertRow"/>
  <rrc rId="3409" sId="1" ref="A357:XFD357" action="insertRow"/>
  <rrc rId="3410" sId="1" ref="A357:XFD357" action="insertRow"/>
  <rcc rId="3411" sId="1" xfDxf="1" dxf="1">
    <nc r="A357" t="inlineStr">
      <is>
        <t>Реализация мероприятий по устойчивому развитию сельских территорий</t>
      </is>
    </nc>
    <ndxf>
      <font>
        <name val="Times New Roman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412" sId="1" xfDxf="1" dxf="1">
    <nc r="A358" t="inlineStr">
      <is>
        <t>Социальное обеспечение и иные выплаты населению</t>
      </is>
    </nc>
    <ndxf>
      <font>
        <name val="Times New Roman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" sqref="A357">
    <dxf>
      <alignment wrapText="1" readingOrder="0"/>
    </dxf>
  </rfmt>
  <rcc rId="3413" sId="1" xfDxf="1" dxf="1">
    <nc r="A359" t="inlineStr">
      <is>
        <t>Социальные выплаты гражданам, кроме публичных нормативных социальных выплат</t>
      </is>
    </nc>
    <ndxf>
      <font>
        <name val="Times New Roman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" sqref="A359">
    <dxf>
      <alignment wrapText="1" readingOrder="0"/>
    </dxf>
  </rfmt>
  <rcc rId="3414" sId="1" xfDxf="1" dxf="1">
    <nc r="A360" t="inlineStr">
      <is>
        <t>Субсидии гражданам на приобретение жилья</t>
      </is>
    </nc>
    <ndxf>
      <font>
        <name val="Times New Roman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415" sId="1">
    <nc r="B357" t="inlineStr">
      <is>
        <t>10 1 00L576Л</t>
      </is>
    </nc>
  </rcc>
  <rcc rId="3416" sId="1">
    <nc r="B358" t="inlineStr">
      <is>
        <t>10 1 00L576Л</t>
      </is>
    </nc>
  </rcc>
  <rcc rId="3417" sId="1">
    <nc r="B359" t="inlineStr">
      <is>
        <t>10 1 00L576Л</t>
      </is>
    </nc>
  </rcc>
  <rcc rId="3418" sId="1">
    <nc r="B360" t="inlineStr">
      <is>
        <t>10 1 00L576Л</t>
      </is>
    </nc>
  </rcc>
  <rcc rId="3419" sId="1" numFmtId="34">
    <nc r="C360">
      <v>322</v>
    </nc>
  </rcc>
  <rcc rId="3420" sId="1" numFmtId="34">
    <nc r="C359">
      <v>320</v>
    </nc>
  </rcc>
  <rcc rId="3421" sId="1" numFmtId="34">
    <nc r="C358">
      <v>300</v>
    </nc>
  </rcc>
  <rcc rId="3422" sId="1">
    <nc r="D359">
      <f>D360</f>
    </nc>
  </rcc>
  <rcc rId="3423" sId="1">
    <nc r="E359">
      <f>E360</f>
    </nc>
  </rcc>
  <rcc rId="3424" sId="1">
    <nc r="F359">
      <f>F360</f>
    </nc>
  </rcc>
  <rcc rId="3425" sId="1">
    <nc r="D357">
      <f>D358</f>
    </nc>
  </rcc>
  <rcc rId="3426" sId="1">
    <nc r="E357">
      <f>E358</f>
    </nc>
  </rcc>
  <rcc rId="3427" sId="1">
    <nc r="F357">
      <f>F358</f>
    </nc>
  </rcc>
  <rcc rId="3428" sId="1">
    <nc r="D358">
      <f>D359</f>
    </nc>
  </rcc>
  <rcc rId="3429" sId="1">
    <nc r="E358">
      <f>E359</f>
    </nc>
  </rcc>
  <rcc rId="3430" sId="1">
    <nc r="F358">
      <f>F359</f>
    </nc>
  </rcc>
  <rcc rId="3431" sId="1">
    <oc r="D352">
      <f>D353</f>
    </oc>
    <nc r="D352">
      <f>D353+D357</f>
    </nc>
  </rcc>
  <rcc rId="3432" sId="1">
    <oc r="E352">
      <f>E353</f>
    </oc>
    <nc r="E352">
      <f>E353+E357</f>
    </nc>
  </rcc>
  <rcc rId="3433" sId="1">
    <oc r="F352">
      <f>F353</f>
    </oc>
    <nc r="F352">
      <f>F353+F357</f>
    </nc>
  </rcc>
  <rcc rId="3434" sId="1">
    <oc r="D351">
      <f>D353</f>
    </oc>
    <nc r="D351">
      <f>D352</f>
    </nc>
  </rcc>
  <rcc rId="3435" sId="1">
    <oc r="E351">
      <f>E353</f>
    </oc>
    <nc r="E351">
      <f>E352</f>
    </nc>
  </rcc>
  <rcc rId="3436" sId="1">
    <oc r="F351">
      <f>F353</f>
    </oc>
    <nc r="F351">
      <f>F352</f>
    </nc>
  </rcc>
  <rfmt sheetId="1" sqref="B357:B360">
    <dxf>
      <fill>
        <patternFill>
          <bgColor theme="6" tint="0.59999389629810485"/>
        </patternFill>
      </fill>
    </dxf>
  </rfmt>
  <rcv guid="{D9B90A86-BE39-4FED-8226-084809D277F3}" action="delete"/>
  <rdn rId="0" localSheetId="1" customView="1" name="Z_D9B90A86_BE39_4FED_8226_084809D277F3_.wvu.PrintArea" hidden="1" oldHidden="1">
    <formula>'программы '!$A$1:$F$831</formula>
    <oldFormula>'программы '!$A$1:$F$831</oldFormula>
  </rdn>
  <rdn rId="0" localSheetId="1" customView="1" name="Z_D9B90A86_BE39_4FED_8226_084809D277F3_.wvu.Rows" hidden="1" oldHidden="1">
    <formula>'программы '!$276:$280</formula>
    <oldFormula>'программы '!$276:$280</oldFormula>
  </rdn>
  <rdn rId="0" localSheetId="1" customView="1" name="Z_D9B90A86_BE39_4FED_8226_084809D277F3_.wvu.FilterData" hidden="1" oldHidden="1">
    <formula>'программы '!$A$1:$A$844</formula>
    <oldFormula>'программы '!$A$1:$A$844</oldFormula>
  </rdn>
  <rcv guid="{D9B90A86-BE39-4FED-8226-084809D277F3}" action="add"/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40" sId="1">
    <oc r="B431" t="inlineStr">
      <is>
        <t>13 0 00 L4971</t>
      </is>
    </oc>
    <nc r="B431" t="inlineStr">
      <is>
        <t>13 0 00 L4970</t>
      </is>
    </nc>
  </rcc>
  <rcc rId="3441" sId="1">
    <oc r="B432" t="inlineStr">
      <is>
        <t>13 0 00 L4971</t>
      </is>
    </oc>
    <nc r="B432" t="inlineStr">
      <is>
        <t>13 0 00 L4970</t>
      </is>
    </nc>
  </rcc>
  <rcc rId="3442" sId="1">
    <oc r="B433" t="inlineStr">
      <is>
        <t>13 0 00 L4971</t>
      </is>
    </oc>
    <nc r="B433" t="inlineStr">
      <is>
        <t>13 0 00 L4970</t>
      </is>
    </nc>
  </rcc>
  <rcc rId="3443" sId="1">
    <oc r="B434" t="inlineStr">
      <is>
        <t>13 0 00 L4971</t>
      </is>
    </oc>
    <nc r="B434" t="inlineStr">
      <is>
        <t>13 0 00 L4970</t>
      </is>
    </nc>
  </rcc>
  <rrc rId="3444" sId="1" ref="A435:XFD435" action="insertRow"/>
  <rrc rId="3445" sId="1" ref="A435:XFD435" action="insertRow"/>
  <rrc rId="3446" sId="1" ref="A435:XFD435" action="insertRow"/>
  <rrc rId="3447" sId="1" ref="A435:XFD435" action="insertRow"/>
  <rcc rId="3448" sId="1" xfDxf="1" dxf="1">
    <oc r="A431" t="inlineStr">
      <is>
        <t>Социальные выплаты, связанные с приобретением, строительством жилья</t>
      </is>
    </oc>
    <nc r="A431" t="inlineStr">
      <is>
        <t>Реализация мероприятий по обеспечению жильем молодых семей</t>
      </is>
    </nc>
    <ndxf>
      <font>
        <name val="Times New Roman"/>
        <scheme val="none"/>
      </font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49" sId="1" xfDxf="1" dxf="1">
    <nc r="A435" t="inlineStr">
      <is>
        <t>Реализация мероприятий по обеспечению жильем молодых семей</t>
      </is>
    </nc>
    <ndxf>
      <font>
        <name val="Times New Roman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" sqref="A435">
    <dxf>
      <alignment wrapText="1" readingOrder="0"/>
    </dxf>
  </rfmt>
  <rcc rId="3450" sId="1" numFmtId="34">
    <nc r="C438">
      <v>322</v>
    </nc>
  </rcc>
  <rcc rId="3451" sId="1" numFmtId="34">
    <nc r="C437">
      <v>320</v>
    </nc>
  </rcc>
  <rcc rId="3452" sId="1" numFmtId="34">
    <nc r="C436">
      <v>300</v>
    </nc>
  </rcc>
  <rcc rId="3453" sId="1" xfDxf="1" dxf="1">
    <nc r="A436" t="inlineStr">
      <is>
        <t>Социальное обеспечение и иные выплаты населению</t>
      </is>
    </nc>
    <ndxf>
      <font>
        <name val="Times New Roman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454" sId="1" xfDxf="1" dxf="1">
    <nc r="A437" t="inlineStr">
      <is>
        <t xml:space="preserve">Социальные выплаты гражданам, кроме публичных нормативных социальных выплат </t>
      </is>
    </nc>
    <ndxf>
      <font>
        <name val="Times New Roman"/>
        <scheme val="none"/>
      </font>
      <alignment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" sqref="A437:A438">
    <dxf>
      <alignment wrapText="1" readingOrder="0"/>
    </dxf>
  </rfmt>
  <rcc rId="3455" sId="1" xfDxf="1" dxf="1">
    <nc r="A438" t="inlineStr">
      <is>
        <t>Субсидии гражданам на приобретение жилья</t>
      </is>
    </nc>
    <ndxf>
      <font>
        <name val="Times New Roman"/>
        <scheme val="none"/>
      </font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" xfDxf="1" sqref="B435" start="0" length="0">
    <dxf>
      <font>
        <name val="Times New Roman"/>
        <scheme val="none"/>
      </font>
      <numFmt numFmtId="30" formatCode="@"/>
      <fill>
        <patternFill patternType="solid">
          <bgColor theme="6" tint="0.59999389629810485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3456" sId="1">
    <nc r="B435" t="inlineStr">
      <is>
        <t>13 0 00 L4971</t>
      </is>
    </nc>
  </rcc>
  <rcc rId="3457" sId="1" xfDxf="1" dxf="1">
    <nc r="B436" t="inlineStr">
      <is>
        <t>13 0 00 L4971</t>
      </is>
    </nc>
    <ndxf>
      <font>
        <name val="Times New Roman"/>
        <scheme val="none"/>
      </font>
      <numFmt numFmtId="30" formatCode="@"/>
      <fill>
        <patternFill patternType="solid">
          <bgColor theme="6" tint="0.59999389629810485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58" sId="1" xfDxf="1" dxf="1">
    <nc r="B437" t="inlineStr">
      <is>
        <t>13 0 00 L4971</t>
      </is>
    </nc>
    <ndxf>
      <font>
        <name val="Times New Roman"/>
        <scheme val="none"/>
      </font>
      <numFmt numFmtId="30" formatCode="@"/>
      <fill>
        <patternFill patternType="solid">
          <bgColor theme="6" tint="0.59999389629810485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459" sId="1" xfDxf="1" dxf="1">
    <nc r="B438" t="inlineStr">
      <is>
        <t>13 0 00 L4971</t>
      </is>
    </nc>
    <ndxf>
      <font>
        <name val="Times New Roman"/>
        <scheme val="none"/>
      </font>
      <numFmt numFmtId="30" formatCode="@"/>
      <fill>
        <patternFill patternType="solid">
          <bgColor theme="6" tint="0.59999389629810485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D9B90A86-BE39-4FED-8226-084809D277F3}" action="delete"/>
  <rdn rId="0" localSheetId="1" customView="1" name="Z_D9B90A86_BE39_4FED_8226_084809D277F3_.wvu.PrintArea" hidden="1" oldHidden="1">
    <formula>'программы '!$A$1:$F$835</formula>
    <oldFormula>'программы '!$A$1:$F$835</oldFormula>
  </rdn>
  <rdn rId="0" localSheetId="1" customView="1" name="Z_D9B90A86_BE39_4FED_8226_084809D277F3_.wvu.Rows" hidden="1" oldHidden="1">
    <formula>'программы '!$276:$280</formula>
    <oldFormula>'программы '!$276:$280</oldFormula>
  </rdn>
  <rdn rId="0" localSheetId="1" customView="1" name="Z_D9B90A86_BE39_4FED_8226_084809D277F3_.wvu.FilterData" hidden="1" oldHidden="1">
    <formula>'программы '!$A$1:$A$848</formula>
    <oldFormula>'программы '!$A$1:$A$848</oldFormula>
  </rdn>
  <rcv guid="{D9B90A86-BE39-4FED-8226-084809D277F3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431:B434">
    <dxf>
      <fill>
        <patternFill>
          <bgColor theme="0"/>
        </patternFill>
      </fill>
    </dxf>
  </rfmt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63" sId="1">
    <nc r="D437">
      <f>D438</f>
    </nc>
  </rcc>
  <rcc rId="3464" sId="1">
    <nc r="E437">
      <f>E438</f>
    </nc>
  </rcc>
  <rcc rId="3465" sId="1">
    <nc r="F437">
      <f>F438</f>
    </nc>
  </rcc>
  <rcc rId="3466" sId="1">
    <nc r="D435">
      <f>D436</f>
    </nc>
  </rcc>
  <rcc rId="3467" sId="1">
    <nc r="E435">
      <f>E436</f>
    </nc>
  </rcc>
  <rcc rId="3468" sId="1">
    <nc r="F435">
      <f>F436</f>
    </nc>
  </rcc>
  <rcc rId="3469" sId="1">
    <nc r="D436">
      <f>D437</f>
    </nc>
  </rcc>
  <rcc rId="3470" sId="1">
    <nc r="E436">
      <f>E437</f>
    </nc>
  </rcc>
  <rcc rId="3471" sId="1">
    <nc r="F436">
      <f>F437</f>
    </nc>
  </rcc>
  <rcc rId="3472" sId="1">
    <oc r="D430">
      <f>D431</f>
    </oc>
    <nc r="D430">
      <f>D431+D435</f>
    </nc>
  </rcc>
  <rcc rId="3473" sId="1">
    <oc r="E430">
      <f>E431</f>
    </oc>
    <nc r="E430">
      <f>E431+E435</f>
    </nc>
  </rcc>
  <rcc rId="3474" sId="1">
    <oc r="F430">
      <f>F431</f>
    </oc>
    <nc r="F430">
      <f>F431+F435</f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75" sId="1">
    <oc r="B482" t="inlineStr">
      <is>
        <t>17 0 F2 55551</t>
      </is>
    </oc>
    <nc r="B482" t="inlineStr">
      <is>
        <t>17 0 F2 55550</t>
      </is>
    </nc>
  </rcc>
  <rcc rId="3476" sId="1">
    <oc r="B483" t="inlineStr">
      <is>
        <t>17 0 F2 55551</t>
      </is>
    </oc>
    <nc r="B483" t="inlineStr">
      <is>
        <t>17 0 F2 55550</t>
      </is>
    </nc>
  </rcc>
  <rcc rId="3477" sId="1">
    <oc r="B484" t="inlineStr">
      <is>
        <t>17 0 F2 55551</t>
      </is>
    </oc>
    <nc r="B484" t="inlineStr">
      <is>
        <t>17 0 F2 55550</t>
      </is>
    </nc>
  </rcc>
  <rcc rId="3478" sId="1">
    <oc r="B485" t="inlineStr">
      <is>
        <t>17 0 F2 55551</t>
      </is>
    </oc>
    <nc r="B485" t="inlineStr">
      <is>
        <t>17 0 F2 55550</t>
      </is>
    </nc>
  </rcc>
  <rrc rId="3479" sId="1" ref="A486:XFD486" action="insertRow"/>
  <rrc rId="3480" sId="1" ref="A486:XFD486" action="insertRow"/>
  <rrc rId="3481" sId="1" ref="A486:XFD486" action="insertRow"/>
  <rrc rId="3482" sId="1" ref="A486:XFD486" action="insertRow"/>
  <rfmt sheetId="1" xfDxf="1" sqref="B486" start="0" length="0">
    <dxf>
      <font>
        <name val="Times New Roman"/>
        <scheme val="none"/>
      </font>
      <numFmt numFmtId="164" formatCode="_-* #,##0.00_р_._-;\-* #,##0.00_р_._-;_-* &quot;-&quot;??_р_._-;_-@_-"/>
      <fill>
        <patternFill patternType="solid">
          <bgColor theme="6" tint="0.59999389629810485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xfDxf="1" sqref="B487" start="0" length="0">
    <dxf>
      <font>
        <name val="Times New Roman"/>
        <scheme val="none"/>
      </font>
      <numFmt numFmtId="164" formatCode="_-* #,##0.00_р_._-;\-* #,##0.00_р_._-;_-* &quot;-&quot;??_р_._-;_-@_-"/>
      <fill>
        <patternFill patternType="solid">
          <bgColor theme="6" tint="0.59999389629810485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xfDxf="1" sqref="B488" start="0" length="0">
    <dxf>
      <font>
        <name val="Times New Roman"/>
        <scheme val="none"/>
      </font>
      <numFmt numFmtId="164" formatCode="_-* #,##0.00_р_._-;\-* #,##0.00_р_._-;_-* &quot;-&quot;??_р_._-;_-@_-"/>
      <fill>
        <patternFill patternType="solid">
          <bgColor theme="6" tint="0.59999389629810485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xfDxf="1" sqref="B489" start="0" length="0">
    <dxf>
      <font>
        <name val="Times New Roman"/>
        <scheme val="none"/>
      </font>
      <numFmt numFmtId="164" formatCode="_-* #,##0.00_р_._-;\-* #,##0.00_р_._-;_-* &quot;-&quot;??_р_._-;_-@_-"/>
      <fill>
        <patternFill patternType="solid">
          <bgColor theme="6" tint="0.59999389629810485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cc rId="3483" sId="1">
    <nc r="B486" t="inlineStr">
      <is>
        <t>17 0 F2 55551</t>
      </is>
    </nc>
  </rcc>
  <rcc rId="3484" sId="1">
    <nc r="B487" t="inlineStr">
      <is>
        <t>17 0 F2 55551</t>
      </is>
    </nc>
  </rcc>
  <rcc rId="3485" sId="1">
    <nc r="B488" t="inlineStr">
      <is>
        <t>17 0 F2 55551</t>
      </is>
    </nc>
  </rcc>
  <rcc rId="3486" sId="1">
    <nc r="B489" t="inlineStr">
      <is>
        <t>17 0 F2 55551</t>
      </is>
    </nc>
  </rcc>
  <rcc rId="3487" sId="1" numFmtId="34">
    <nc r="C489">
      <v>244</v>
    </nc>
  </rcc>
  <rcc rId="3488" sId="1" numFmtId="34">
    <nc r="C488">
      <v>240</v>
    </nc>
  </rcc>
  <rcc rId="3489" sId="1" numFmtId="34">
    <nc r="C487">
      <v>200</v>
    </nc>
  </rcc>
  <rcc rId="3490" sId="1" xfDxf="1" dxf="1">
    <nc r="A489" t="inlineStr">
      <is>
        <t xml:space="preserve">Прочая закупка товаров, работ и услуг </t>
      </is>
    </nc>
    <ndxf>
      <font>
        <name val="Times New Roman"/>
        <scheme val="none"/>
      </font>
      <alignment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491" sId="1" xfDxf="1" dxf="1">
    <nc r="A488" t="inlineStr">
      <is>
        <t>Иные закупки товаров,работ и услуг для обеспечения государственных (муниципальных) нужд</t>
      </is>
    </nc>
    <ndxf>
      <font>
        <name val="Times New Roman"/>
        <scheme val="none"/>
      </font>
      <alignment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492" sId="1" xfDxf="1" dxf="1">
    <nc r="A487" t="inlineStr">
      <is>
        <t>Закупка товаров, работ и услуг для обеспечения государственных (муниципальных) нужд</t>
      </is>
    </nc>
    <ndxf>
      <font>
        <name val="Times New Roman"/>
        <scheme val="none"/>
      </font>
      <alignment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493" sId="1" xfDxf="1" dxf="1">
    <nc r="A486" t="inlineStr">
      <is>
        <t>Поддержка государственных программ  формирования современной городской среды</t>
      </is>
    </nc>
    <ndxf>
      <font>
        <name val="Times New Roman"/>
        <scheme val="none"/>
      </font>
      <alignment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1" sqref="A486:XFD489">
    <dxf>
      <fill>
        <patternFill>
          <bgColor theme="6" tint="0.59999389629810485"/>
        </patternFill>
      </fill>
    </dxf>
  </rfmt>
  <rfmt sheetId="1" sqref="B482:B485">
    <dxf>
      <fill>
        <patternFill>
          <bgColor theme="0"/>
        </patternFill>
      </fill>
    </dxf>
  </rfmt>
  <rcc rId="3494" sId="1">
    <nc r="D488">
      <f>D489</f>
    </nc>
  </rcc>
  <rcc rId="3495" sId="1">
    <nc r="E488">
      <f>E489</f>
    </nc>
  </rcc>
  <rcc rId="3496" sId="1">
    <nc r="F488">
      <f>F489</f>
    </nc>
  </rcc>
  <rcc rId="3497" sId="1">
    <nc r="D486">
      <f>D487</f>
    </nc>
  </rcc>
  <rcc rId="3498" sId="1">
    <nc r="E486">
      <f>E487</f>
    </nc>
  </rcc>
  <rcc rId="3499" sId="1">
    <nc r="F486">
      <f>F487</f>
    </nc>
  </rcc>
  <rcc rId="3500" sId="1">
    <nc r="D487">
      <f>D488</f>
    </nc>
  </rcc>
  <rcc rId="3501" sId="1">
    <nc r="E487">
      <f>E488</f>
    </nc>
  </rcc>
  <rcc rId="3502" sId="1">
    <nc r="F487">
      <f>F488</f>
    </nc>
  </rcc>
  <rcc rId="3503" sId="1">
    <oc r="D481">
      <f>D482</f>
    </oc>
    <nc r="D481">
      <f>D482+D486</f>
    </nc>
  </rcc>
  <rcc rId="3504" sId="1">
    <oc r="E481">
      <f>E482</f>
    </oc>
    <nc r="E481">
      <f>E482+E486</f>
    </nc>
  </rcc>
  <rcc rId="3505" sId="1">
    <oc r="F481">
      <f>F482</f>
    </oc>
    <nc r="F481">
      <f>F482+F486</f>
    </nc>
  </rcc>
  <rcc rId="3506" sId="1">
    <oc r="B496" t="inlineStr">
      <is>
        <t>18 0 F5 52431</t>
      </is>
    </oc>
    <nc r="B496" t="inlineStr">
      <is>
        <t>18 0 F5 52430</t>
      </is>
    </nc>
  </rcc>
  <rcc rId="3507" sId="1">
    <oc r="B497" t="inlineStr">
      <is>
        <t>18 0 F5 52431</t>
      </is>
    </oc>
    <nc r="B497" t="inlineStr">
      <is>
        <t>18 0 F5 52430</t>
      </is>
    </nc>
  </rcc>
  <rcc rId="3508" sId="1">
    <oc r="B498" t="inlineStr">
      <is>
        <t>18 0 F5 52431</t>
      </is>
    </oc>
    <nc r="B498" t="inlineStr">
      <is>
        <t>18 0 F5 52430</t>
      </is>
    </nc>
  </rcc>
  <rcc rId="3509" sId="1">
    <oc r="B499" t="inlineStr">
      <is>
        <t>18 0 F5 52431</t>
      </is>
    </oc>
    <nc r="B499" t="inlineStr">
      <is>
        <t>18 0 F5 52430</t>
      </is>
    </nc>
  </rcc>
  <rfmt sheetId="1" sqref="B496:B499">
    <dxf>
      <fill>
        <patternFill>
          <bgColor theme="0"/>
        </patternFill>
      </fill>
    </dxf>
  </rfmt>
  <rrc rId="3510" sId="1" ref="A500:XFD500" action="insertRow"/>
  <rrc rId="3511" sId="1" ref="A500:XFD500" action="insertRow"/>
  <rrc rId="3512" sId="1" ref="A500:XFD500" action="insertRow"/>
  <rrc rId="3513" sId="1" ref="A500:XFD500" action="insertRow"/>
  <rcc rId="3514" sId="1">
    <nc r="C503">
      <v>414</v>
    </nc>
  </rcc>
  <rcc rId="3515" sId="1">
    <nc r="C502">
      <v>410</v>
    </nc>
  </rcc>
  <rcc rId="3516" sId="1">
    <nc r="C501">
      <v>400</v>
    </nc>
  </rcc>
  <rcc rId="3517" sId="1" xfDxf="1" dxf="1">
    <nc r="A503" t="inlineStr">
      <is>
        <t>Бюджетные инвестиции в объекты капитального строительства государственной (муниципальной) собственности</t>
      </is>
    </nc>
    <ndxf>
      <font>
        <name val="Times New Roman Cyr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518" sId="1" xfDxf="1" dxf="1">
    <nc r="A502" t="inlineStr">
      <is>
        <t>Бюджетные инвестиции</t>
      </is>
    </nc>
    <ndxf>
      <font>
        <name val="Times New Roman Cyr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519" sId="1" xfDxf="1" dxf="1">
    <nc r="A501" t="inlineStr">
      <is>
        <t>Капитальные вложения в объекты государственной (муниципальной) собственности</t>
      </is>
    </nc>
    <ndxf>
      <font>
        <name val="Times New Roman Cyr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520" sId="1" xfDxf="1" dxf="1">
    <nc r="A500" t="inlineStr">
      <is>
        <t>Строительство и реконструкция (модернизация) объектов питьевого водоснабжения</t>
      </is>
    </nc>
    <ndxf>
      <font>
        <name val="Times New Roman Cyr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1" xfDxf="1" sqref="B500" start="0" length="0">
    <dxf>
      <font>
        <name val="Times New Roman"/>
        <scheme val="none"/>
      </font>
      <fill>
        <patternFill patternType="solid">
          <bgColor theme="0"/>
        </patternFill>
      </fill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fmt sheetId="1" xfDxf="1" sqref="B501" start="0" length="0">
    <dxf>
      <font>
        <name val="Times New Roman"/>
        <scheme val="none"/>
      </font>
      <fill>
        <patternFill patternType="solid">
          <bgColor theme="0"/>
        </patternFill>
      </fill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fmt sheetId="1" xfDxf="1" sqref="B503" start="0" length="0">
    <dxf>
      <font>
        <name val="Times New Roman"/>
        <scheme val="none"/>
      </font>
      <fill>
        <patternFill patternType="solid">
          <bgColor theme="0"/>
        </patternFill>
      </fill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fmt sheetId="1" xfDxf="1" sqref="B502" start="0" length="0">
    <dxf>
      <font>
        <name val="Times New Roman"/>
        <scheme val="none"/>
      </font>
      <fill>
        <patternFill patternType="solid">
          <bgColor theme="0"/>
        </patternFill>
      </fill>
      <alignment horizontal="center" vertical="center" readingOrder="0"/>
      <border outline="0">
        <top style="thin">
          <color indexed="64"/>
        </top>
        <bottom style="thin">
          <color indexed="64"/>
        </bottom>
      </border>
    </dxf>
  </rfmt>
  <rcc rId="3521" sId="1">
    <nc r="B503" t="inlineStr">
      <is>
        <t>18 0 F5 52431</t>
      </is>
    </nc>
  </rcc>
  <rcc rId="3522" sId="1">
    <nc r="B502" t="inlineStr">
      <is>
        <t>18 0 F5 52431</t>
      </is>
    </nc>
  </rcc>
  <rcc rId="3523" sId="1">
    <nc r="B501" t="inlineStr">
      <is>
        <t>18 0 F5 52431</t>
      </is>
    </nc>
  </rcc>
  <rcc rId="3524" sId="1">
    <nc r="B500" t="inlineStr">
      <is>
        <t>18 0 F5 52431</t>
      </is>
    </nc>
  </rcc>
  <rcc rId="3525" sId="1">
    <nc r="D502">
      <f>D503</f>
    </nc>
  </rcc>
  <rcc rId="3526" sId="1">
    <nc r="E502">
      <f>E503</f>
    </nc>
  </rcc>
  <rcc rId="3527" sId="1">
    <nc r="F502">
      <f>F503</f>
    </nc>
  </rcc>
  <rcc rId="3528" sId="1">
    <nc r="D500">
      <f>D501</f>
    </nc>
  </rcc>
  <rcc rId="3529" sId="1">
    <nc r="E500">
      <f>E501</f>
    </nc>
  </rcc>
  <rcc rId="3530" sId="1">
    <nc r="F500">
      <f>F501</f>
    </nc>
  </rcc>
  <rcc rId="3531" sId="1">
    <nc r="D501">
      <f>D502</f>
    </nc>
  </rcc>
  <rcc rId="3532" sId="1">
    <nc r="E501">
      <f>E502</f>
    </nc>
  </rcc>
  <rcc rId="3533" sId="1">
    <nc r="F501">
      <f>F502</f>
    </nc>
  </rcc>
  <rcc rId="3534" sId="1">
    <oc r="D495">
      <f>D496</f>
    </oc>
    <nc r="D495">
      <f>D496+D500</f>
    </nc>
  </rcc>
  <rcc rId="3535" sId="1">
    <oc r="E495">
      <f>E496</f>
    </oc>
    <nc r="E495">
      <f>E496+E500</f>
    </nc>
  </rcc>
  <rcc rId="3536" sId="1">
    <oc r="F495">
      <f>F496</f>
    </oc>
    <nc r="F495">
      <f>F496+F500</f>
    </nc>
  </rcc>
  <rcv guid="{D9B90A86-BE39-4FED-8226-084809D277F3}" action="delete"/>
  <rdn rId="0" localSheetId="1" customView="1" name="Z_D9B90A86_BE39_4FED_8226_084809D277F3_.wvu.PrintArea" hidden="1" oldHidden="1">
    <formula>'программы '!$A$1:$F$843</formula>
    <oldFormula>'программы '!$A$1:$F$843</oldFormula>
  </rdn>
  <rdn rId="0" localSheetId="1" customView="1" name="Z_D9B90A86_BE39_4FED_8226_084809D277F3_.wvu.Rows" hidden="1" oldHidden="1">
    <formula>'программы '!$276:$280</formula>
    <oldFormula>'программы '!$276:$280</oldFormula>
  </rdn>
  <rdn rId="0" localSheetId="1" customView="1" name="Z_D9B90A86_BE39_4FED_8226_084809D277F3_.wvu.FilterData" hidden="1" oldHidden="1">
    <formula>'программы '!$A$1:$A$856</formula>
    <oldFormula>'программы '!$A$1:$A$856</oldFormula>
  </rdn>
  <rcv guid="{D9B90A86-BE39-4FED-8226-084809D277F3}" action="add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500:XFD503">
    <dxf>
      <fill>
        <patternFill>
          <bgColor theme="6" tint="0.59999389629810485"/>
        </patternFill>
      </fill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832" sId="1" ref="A53:XFD53" action="insertRow">
    <undo index="0" exp="area" ref3D="1" dr="$A$233:$XFD$237" dn="Z_D9B90A86_BE39_4FED_8226_084809D277F3_.wvu.Rows" sId="1"/>
    <undo index="0" exp="area" ref3D="1" dr="$A$233:$XFD$237" dn="Z_30E81E54_DD45_4653_9DCD_548F6723F554_.wvu.Rows" sId="1"/>
  </rrc>
  <rrc rId="2833" sId="1" ref="A53:XFD53" action="insertRow">
    <undo index="0" exp="area" ref3D="1" dr="$A$234:$XFD$238" dn="Z_D9B90A86_BE39_4FED_8226_084809D277F3_.wvu.Rows" sId="1"/>
    <undo index="0" exp="area" ref3D="1" dr="$A$234:$XFD$238" dn="Z_30E81E54_DD45_4653_9DCD_548F6723F554_.wvu.Rows" sId="1"/>
  </rrc>
  <rrc rId="2834" sId="1" ref="A53:XFD53" action="insertRow">
    <undo index="0" exp="area" ref3D="1" dr="$A$235:$XFD$239" dn="Z_D9B90A86_BE39_4FED_8226_084809D277F3_.wvu.Rows" sId="1"/>
    <undo index="0" exp="area" ref3D="1" dr="$A$235:$XFD$239" dn="Z_30E81E54_DD45_4653_9DCD_548F6723F554_.wvu.Rows" sId="1"/>
  </rrc>
  <rrc rId="2835" sId="1" ref="A53:XFD53" action="insertRow">
    <undo index="0" exp="area" ref3D="1" dr="$A$236:$XFD$240" dn="Z_D9B90A86_BE39_4FED_8226_084809D277F3_.wvu.Rows" sId="1"/>
    <undo index="0" exp="area" ref3D="1" dr="$A$236:$XFD$240" dn="Z_30E81E54_DD45_4653_9DCD_548F6723F554_.wvu.Rows" sId="1"/>
  </rrc>
  <rcc rId="2836" sId="1" xfDxf="1" dxf="1">
    <nc r="A53" t="inlineStr">
      <is>
        <t>Реализация мероприятий по социально-экономическому развитию муниципальных округов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37" sId="1">
    <nc r="C56">
      <v>612</v>
    </nc>
  </rcc>
  <rcc rId="2838" sId="1">
    <nc r="C55">
      <v>610</v>
    </nc>
  </rcc>
  <rcc rId="2839" sId="1">
    <nc r="C54">
      <v>600</v>
    </nc>
  </rcc>
  <rcc rId="2840" sId="1" xfDxf="1" dxf="1">
    <nc r="B53" t="inlineStr">
      <is>
        <t>03 1 00 Э8160</t>
      </is>
    </nc>
    <ndxf>
      <font>
        <name val="Times New Roman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41" sId="1" xfDxf="1" dxf="1">
    <nc r="B54" t="inlineStr">
      <is>
        <t>03 1 00 Э8160</t>
      </is>
    </nc>
    <ndxf>
      <font>
        <name val="Times New Roman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42" sId="1" xfDxf="1" dxf="1">
    <nc r="B55" t="inlineStr">
      <is>
        <t>03 1 00 Э8160</t>
      </is>
    </nc>
    <ndxf>
      <font>
        <name val="Times New Roman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43" sId="1" xfDxf="1" dxf="1">
    <nc r="B56" t="inlineStr">
      <is>
        <t>03 1 00 Э8160</t>
      </is>
    </nc>
    <ndxf>
      <font>
        <name val="Times New Roman"/>
        <scheme val="none"/>
      </font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44" sId="1" xfDxf="1" dxf="1">
    <nc r="A54" t="inlineStr">
      <is>
        <t>Предоставление субсидий бюджетным, автономным учреждениям и иным некоммерческим организациям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45" sId="1" xfDxf="1" dxf="1">
    <nc r="A55" t="inlineStr">
      <is>
        <t>Субсидии бюджетным учреждениям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2846" sId="1" xfDxf="1" dxf="1">
    <nc r="A56" t="inlineStr">
      <is>
        <t>Субсидии бюджетным учреждениям на иные цели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53:XFD56">
    <dxf>
      <fill>
        <patternFill patternType="solid">
          <bgColor theme="6" tint="0.59999389629810485"/>
        </patternFill>
      </fill>
    </dxf>
  </rfmt>
  <rcc rId="2847" sId="1">
    <oc r="D40">
      <f>D41+D45+D57+D62+D49</f>
    </oc>
    <nc r="D40">
      <f>D41+D45+D57+D62+D49+D53</f>
    </nc>
  </rcc>
  <rcc rId="2848" sId="1">
    <oc r="E40">
      <f>E41+E45+E57+E62+E49</f>
    </oc>
    <nc r="E40">
      <f>E41+E45+E57+E62+E49+E53</f>
    </nc>
  </rcc>
  <rcc rId="2849" sId="1">
    <oc r="F40">
      <f>F41+F45+F57+F62+F49</f>
    </oc>
    <nc r="F40">
      <f>F41+F45+F57+F62+F49+F53</f>
    </nc>
  </rcc>
  <rcv guid="{D9B90A86-BE39-4FED-8226-084809D277F3}" action="delete"/>
  <rdn rId="0" localSheetId="1" customView="1" name="Z_D9B90A86_BE39_4FED_8226_084809D277F3_.wvu.PrintArea" hidden="1" oldHidden="1">
    <formula>'программы '!$A$1:$F$759</formula>
    <oldFormula>'программы '!$A$1:$F$759</oldFormula>
  </rdn>
  <rdn rId="0" localSheetId="1" customView="1" name="Z_D9B90A86_BE39_4FED_8226_084809D277F3_.wvu.Rows" hidden="1" oldHidden="1">
    <formula>'программы '!$237:$241</formula>
    <oldFormula>'программы '!$237:$241</oldFormula>
  </rdn>
  <rdn rId="0" localSheetId="1" customView="1" name="Z_D9B90A86_BE39_4FED_8226_084809D277F3_.wvu.FilterData" hidden="1" oldHidden="1">
    <formula>'программы '!$A$1:$A$772</formula>
    <oldFormula>'программы '!$A$1:$A$772</oldFormula>
  </rdn>
  <rcv guid="{D9B90A86-BE39-4FED-8226-084809D277F3}" action="add"/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540" sId="1" ref="A771:XFD771" action="insertRow"/>
  <rrc rId="3541" sId="1" ref="A771:XFD771" action="insertRow"/>
  <rrc rId="3542" sId="1" ref="A771:XFD771" action="insertRow"/>
  <rrc rId="3543" sId="1" ref="A772:XFD772" action="insertRow"/>
  <rcc rId="3544" sId="1" xfDxf="1" dxf="1">
    <nc r="B771" t="inlineStr">
      <is>
        <t>61 1 00 R0821</t>
      </is>
    </nc>
    <ndxf>
      <font>
        <name val="Times New Roman"/>
        <scheme val="none"/>
      </font>
      <numFmt numFmtId="30" formatCode="@"/>
      <fill>
        <patternFill patternType="solid">
          <bgColor theme="0"/>
        </patternFill>
      </fill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3545" sId="1" xfDxf="1" dxf="1">
    <nc r="B772" t="inlineStr">
      <is>
        <t>61 1 00 R0821</t>
      </is>
    </nc>
    <ndxf>
      <font>
        <name val="Times New Roman"/>
        <scheme val="none"/>
      </font>
      <numFmt numFmtId="30" formatCode="@"/>
      <fill>
        <patternFill patternType="solid">
          <bgColor theme="0"/>
        </patternFill>
      </fill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3546" sId="1" xfDxf="1" dxf="1">
    <nc r="B773" t="inlineStr">
      <is>
        <t>61 1 00 R0821</t>
      </is>
    </nc>
    <ndxf>
      <font>
        <name val="Times New Roman"/>
        <scheme val="none"/>
      </font>
      <numFmt numFmtId="30" formatCode="@"/>
      <fill>
        <patternFill patternType="solid">
          <bgColor theme="0"/>
        </patternFill>
      </fill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3547" sId="1" xfDxf="1" dxf="1">
    <nc r="B774" t="inlineStr">
      <is>
        <t>61 1 00 R0821</t>
      </is>
    </nc>
    <ndxf>
      <font>
        <name val="Times New Roman"/>
        <scheme val="none"/>
      </font>
      <numFmt numFmtId="30" formatCode="@"/>
      <fill>
        <patternFill patternType="solid">
          <bgColor theme="0"/>
        </patternFill>
      </fill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3548" sId="1">
    <oc r="B767" t="inlineStr">
      <is>
        <t>61 1 00 R0821</t>
      </is>
    </oc>
    <nc r="B767" t="inlineStr">
      <is>
        <t>61 1 00 R0820</t>
      </is>
    </nc>
  </rcc>
  <rcc rId="3549" sId="1">
    <oc r="B768" t="inlineStr">
      <is>
        <t>61 1 00 R0821</t>
      </is>
    </oc>
    <nc r="B768" t="inlineStr">
      <is>
        <t>61 1 00 R0820</t>
      </is>
    </nc>
  </rcc>
  <rcc rId="3550" sId="1">
    <oc r="B769" t="inlineStr">
      <is>
        <t>61 1 00 R0821</t>
      </is>
    </oc>
    <nc r="B769" t="inlineStr">
      <is>
        <t>61 1 00 R0820</t>
      </is>
    </nc>
  </rcc>
  <rcc rId="3551" sId="1">
    <oc r="B770" t="inlineStr">
      <is>
        <t>61 1 00 R0821</t>
      </is>
    </oc>
    <nc r="B770" t="inlineStr">
      <is>
        <t>61 1 00 R0820</t>
      </is>
    </nc>
  </rcc>
  <rcv guid="{D9B90A86-BE39-4FED-8226-084809D277F3}" action="delete"/>
  <rdn rId="0" localSheetId="1" customView="1" name="Z_D9B90A86_BE39_4FED_8226_084809D277F3_.wvu.PrintArea" hidden="1" oldHidden="1">
    <formula>'программы '!$A$1:$F$847</formula>
    <oldFormula>'программы '!$A$1:$F$847</oldFormula>
  </rdn>
  <rdn rId="0" localSheetId="1" customView="1" name="Z_D9B90A86_BE39_4FED_8226_084809D277F3_.wvu.Rows" hidden="1" oldHidden="1">
    <formula>'программы '!$276:$280</formula>
    <oldFormula>'программы '!$276:$280</oldFormula>
  </rdn>
  <rdn rId="0" localSheetId="1" customView="1" name="Z_D9B90A86_BE39_4FED_8226_084809D277F3_.wvu.FilterData" hidden="1" oldHidden="1">
    <formula>'программы '!$A$1:$A$860</formula>
    <oldFormula>'программы '!$A$1:$A$860</oldFormula>
  </rdn>
  <rcv guid="{D9B90A86-BE39-4FED-8226-084809D277F3}" action="add"/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55" sId="1">
    <nc r="C774" t="inlineStr">
      <is>
        <t>412</t>
      </is>
    </nc>
  </rcc>
  <rcc rId="3556" sId="1">
    <nc r="C773" t="inlineStr">
      <is>
        <t>410</t>
      </is>
    </nc>
  </rcc>
  <rcc rId="3557" sId="1">
    <nc r="C772" t="inlineStr">
      <is>
        <t>400</t>
      </is>
    </nc>
  </rcc>
  <rcc rId="3558" sId="1" xfDxf="1" dxf="1">
    <nc r="A774" t="inlineStr">
      <is>
        <t>Бюджетные инвестиции на приобретение объектов недвижимого имущества в государственную (муниципальную) собственность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559" sId="1" xfDxf="1" dxf="1">
    <nc r="A773" t="inlineStr">
      <is>
        <t>Бюджетные инвестиции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560" sId="1" xfDxf="1" dxf="1">
    <nc r="A772" t="inlineStr">
      <is>
        <t>Капитальные вложения в объекты государственной (муниципальной) собственности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561" sId="1" xfDxf="1" dxf="1">
    <nc r="A771" t="inlineStr">
      <is>
        <t>Обеспечение детей-сирот и детей, оставшихся без попечения родителей, жилыми помещениями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562" sId="1">
    <nc r="D773">
      <f>D774</f>
    </nc>
  </rcc>
  <rcc rId="3563" sId="1">
    <nc r="E773">
      <f>E774</f>
    </nc>
  </rcc>
  <rcc rId="3564" sId="1">
    <nc r="F773">
      <f>F774</f>
    </nc>
  </rcc>
  <rcc rId="3565" sId="1">
    <nc r="D771">
      <f>D772</f>
    </nc>
  </rcc>
  <rcc rId="3566" sId="1">
    <nc r="E771">
      <f>E772</f>
    </nc>
  </rcc>
  <rcc rId="3567" sId="1">
    <nc r="F771">
      <f>F772</f>
    </nc>
  </rcc>
  <rcc rId="3568" sId="1">
    <nc r="D772">
      <f>D773</f>
    </nc>
  </rcc>
  <rcc rId="3569" sId="1">
    <nc r="E772">
      <f>E773</f>
    </nc>
  </rcc>
  <rcc rId="3570" sId="1">
    <nc r="F772">
      <f>F773</f>
    </nc>
  </rcc>
  <rcc rId="3571" sId="1">
    <oc r="D766">
      <f>D767+D775+D779</f>
    </oc>
    <nc r="D766">
      <f>D767+D775+D779+D771</f>
    </nc>
  </rcc>
  <rcc rId="3572" sId="1">
    <oc r="E766">
      <f>E767+E775+E779</f>
    </oc>
    <nc r="E766">
      <f>E767+E775+E779+E771</f>
    </nc>
  </rcc>
  <rcc rId="3573" sId="1">
    <oc r="F766">
      <f>F767+F775+F779</f>
    </oc>
    <nc r="F766">
      <f>F767+F775+F779+F771</f>
    </nc>
  </rcc>
  <rcv guid="{D9B90A86-BE39-4FED-8226-084809D277F3}" action="delete"/>
  <rdn rId="0" localSheetId="1" customView="1" name="Z_D9B90A86_BE39_4FED_8226_084809D277F3_.wvu.PrintArea" hidden="1" oldHidden="1">
    <formula>'программы '!$A$1:$F$847</formula>
    <oldFormula>'программы '!$A$1:$F$847</oldFormula>
  </rdn>
  <rdn rId="0" localSheetId="1" customView="1" name="Z_D9B90A86_BE39_4FED_8226_084809D277F3_.wvu.Rows" hidden="1" oldHidden="1">
    <formula>'программы '!$276:$280</formula>
    <oldFormula>'программы '!$276:$280</oldFormula>
  </rdn>
  <rdn rId="0" localSheetId="1" customView="1" name="Z_D9B90A86_BE39_4FED_8226_084809D277F3_.wvu.FilterData" hidden="1" oldHidden="1">
    <formula>'программы '!$A$1:$A$860</formula>
    <oldFormula>'программы '!$A$1:$A$860</oldFormula>
  </rdn>
  <rcv guid="{D9B90A86-BE39-4FED-8226-084809D277F3}" action="add"/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771:XFD774">
    <dxf>
      <fill>
        <patternFill>
          <bgColor theme="6" tint="0.59999389629810485"/>
        </patternFill>
      </fill>
    </dxf>
  </rfmt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577" sId="1" ref="A295:XFD295" action="insertRow"/>
  <rrc rId="3578" sId="1" ref="A295:XFD295" action="insertRow"/>
  <rrc rId="3579" sId="1" ref="A295:XFD295" action="insertRow"/>
  <rrc rId="3580" sId="1" ref="A295:XFD295" action="insertRow"/>
  <rcc rId="3581" sId="1" numFmtId="34">
    <nc r="C298">
      <v>244</v>
    </nc>
  </rcc>
  <rcc rId="3582" sId="1" numFmtId="34">
    <nc r="C297">
      <v>240</v>
    </nc>
  </rcc>
  <rcc rId="3583" sId="1" numFmtId="34">
    <nc r="C296">
      <v>200</v>
    </nc>
  </rcc>
  <rcc rId="3584" sId="1" xfDxf="1" dxf="1">
    <nc r="A295" t="inlineStr">
      <is>
        <t xml:space="preserve">Обустройтсво и модернизация плоскостных спортивных соооружений </t>
      </is>
    </nc>
    <ndxf>
      <font>
        <name val="Times New Roman"/>
        <scheme val="none"/>
      </font>
      <alignment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585" sId="1" xfDxf="1" dxf="1">
    <nc r="A296" t="inlineStr">
      <is>
        <t>Закупка товаров, работ и услуг для обеспечения государственных (муниципальных) нужд</t>
      </is>
    </nc>
    <ndxf>
      <font>
        <name val="Times New Roman"/>
        <scheme val="none"/>
      </font>
      <alignment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586" sId="1" xfDxf="1" dxf="1">
    <nc r="A297" t="inlineStr">
      <is>
        <t>Иные закупки товаров,работ и услуг для обеспечения государственных (муниципальных) нужд</t>
      </is>
    </nc>
    <ndxf>
      <font>
        <name val="Times New Roman"/>
        <scheme val="none"/>
      </font>
      <alignment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587" sId="1" xfDxf="1" dxf="1">
    <nc r="A298" t="inlineStr">
      <is>
        <t xml:space="preserve">Прочая закупка товаров, работ и услуг </t>
      </is>
    </nc>
    <ndxf>
      <font>
        <name val="Times New Roman"/>
        <scheme val="none"/>
      </font>
      <alignment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588" sId="1" xfDxf="1" s="1" dxf="1">
    <nc r="B295" t="inlineStr">
      <is>
        <t>06 1 00 S8080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3589" sId="1" xfDxf="1" s="1" dxf="1">
    <nc r="B296" t="inlineStr">
      <is>
        <t>06 1 00 S8080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3590" sId="1" xfDxf="1" s="1" dxf="1">
    <nc r="B297" t="inlineStr">
      <is>
        <t>06 1 00 S8080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3591" sId="1" xfDxf="1" s="1" dxf="1">
    <nc r="B298" t="inlineStr">
      <is>
        <t>06 1 00 S8080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4" formatCode="_-* #,##0.00_р_._-;\-* #,##0.00_р_._-;_-* &quot;-&quot;??_р_.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ndxf>
  </rcc>
  <rcc rId="3592" sId="1">
    <nc r="D297">
      <f>D298</f>
    </nc>
  </rcc>
  <rcc rId="3593" sId="1">
    <nc r="E297">
      <f>E298</f>
    </nc>
  </rcc>
  <rcc rId="3594" sId="1">
    <nc r="F297">
      <f>F298</f>
    </nc>
  </rcc>
  <rcc rId="3595" sId="1">
    <nc r="D295">
      <f>D296</f>
    </nc>
  </rcc>
  <rcc rId="3596" sId="1">
    <nc r="E295">
      <f>E296</f>
    </nc>
  </rcc>
  <rcc rId="3597" sId="1">
    <nc r="F295">
      <f>F296</f>
    </nc>
  </rcc>
  <rcc rId="3598" sId="1">
    <nc r="D296">
      <f>D297</f>
    </nc>
  </rcc>
  <rcc rId="3599" sId="1">
    <nc r="E296">
      <f>E297</f>
    </nc>
  </rcc>
  <rcc rId="3600" sId="1">
    <nc r="F296">
      <f>F297</f>
    </nc>
  </rcc>
  <rcc rId="3601" sId="1">
    <oc r="D282">
      <f>D283+D299</f>
    </oc>
    <nc r="D282">
      <f>D283+D299+D295</f>
    </nc>
  </rcc>
  <rcc rId="3602" sId="1">
    <oc r="E282">
      <f>E283+E299</f>
    </oc>
    <nc r="E282">
      <f>E283+E299+E295</f>
    </nc>
  </rcc>
  <rcc rId="3603" sId="1">
    <oc r="F282">
      <f>F283+F299</f>
    </oc>
    <nc r="F282">
      <f>F283+F299+F295</f>
    </nc>
  </rcc>
  <rcv guid="{D9B90A86-BE39-4FED-8226-084809D277F3}" action="delete"/>
  <rdn rId="0" localSheetId="1" customView="1" name="Z_D9B90A86_BE39_4FED_8226_084809D277F3_.wvu.PrintArea" hidden="1" oldHidden="1">
    <formula>'программы '!$A$1:$F$851</formula>
    <oldFormula>'программы '!$A$1:$F$851</oldFormula>
  </rdn>
  <rdn rId="0" localSheetId="1" customView="1" name="Z_D9B90A86_BE39_4FED_8226_084809D277F3_.wvu.Rows" hidden="1" oldHidden="1">
    <formula>'программы '!$276:$280</formula>
    <oldFormula>'программы '!$276:$280</oldFormula>
  </rdn>
  <rdn rId="0" localSheetId="1" customView="1" name="Z_D9B90A86_BE39_4FED_8226_084809D277F3_.wvu.FilterData" hidden="1" oldHidden="1">
    <formula>'программы '!$A$1:$A$864</formula>
    <oldFormula>'программы '!$A$1:$A$864</oldFormula>
  </rdn>
  <rcv guid="{D9B90A86-BE39-4FED-8226-084809D277F3}" action="add"/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07" sId="1">
    <oc r="A295" t="inlineStr">
      <is>
        <t xml:space="preserve">Обустройтсво и модернизация плоскостных спортивных соооружений </t>
      </is>
    </oc>
    <nc r="A295" t="inlineStr">
      <is>
        <t xml:space="preserve">Обустройство и модернизация плоскостных спортивных соооружений </t>
      </is>
    </nc>
  </rcc>
  <rfmt sheetId="1" sqref="A295:XFD298">
    <dxf>
      <fill>
        <patternFill patternType="solid">
          <bgColor theme="8" tint="0.39997558519241921"/>
        </patternFill>
      </fill>
    </dxf>
  </rfmt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08" sId="1" numFmtId="34">
    <nc r="D56">
      <v>1275000</v>
    </nc>
  </rcc>
  <rcc rId="3609" sId="1" numFmtId="34">
    <nc r="D60">
      <v>1290000</v>
    </nc>
  </rcc>
  <rcc rId="3610" sId="1" numFmtId="34">
    <nc r="D78">
      <v>33433445</v>
    </nc>
  </rcc>
  <rcc rId="3611" sId="1" numFmtId="34">
    <nc r="E78">
      <v>33307285</v>
    </nc>
  </rcc>
  <rcc rId="3612" sId="1" numFmtId="34">
    <nc r="F78">
      <v>32424070</v>
    </nc>
  </rcc>
  <rcc rId="3613" sId="1" numFmtId="34">
    <oc r="D74">
      <v>33433445</v>
    </oc>
    <nc r="D74">
      <v>0</v>
    </nc>
  </rcc>
  <rcc rId="3614" sId="1" numFmtId="34">
    <oc r="E74">
      <v>33307285</v>
    </oc>
    <nc r="E74">
      <v>0</v>
    </nc>
  </rcc>
  <rcc rId="3615" sId="1" numFmtId="34">
    <oc r="F74">
      <v>32424070</v>
    </oc>
    <nc r="F74">
      <v>0</v>
    </nc>
  </rcc>
  <rcc rId="3616" sId="1" numFmtId="34">
    <nc r="D90">
      <v>987400</v>
    </nc>
  </rcc>
  <rcc rId="3617" sId="1" numFmtId="34">
    <nc r="D94">
      <v>7720306.2000000002</v>
    </nc>
  </rcc>
  <rcc rId="3618" sId="1" numFmtId="34">
    <oc r="D98">
      <v>209988112</v>
    </oc>
    <nc r="D98">
      <v>209923088.25</v>
    </nc>
  </rcc>
  <rcc rId="3619" sId="1" numFmtId="34">
    <oc r="E98">
      <v>125652639.21000001</v>
    </oc>
    <nc r="E98">
      <v>125619716.20999999</v>
    </nc>
  </rcc>
  <rcc rId="3620" sId="1" numFmtId="34">
    <oc r="F98">
      <v>129914883.89000002</v>
    </oc>
    <nc r="F98">
      <v>130092010.89</v>
    </nc>
  </rcc>
  <rcc rId="3621" sId="1" numFmtId="34">
    <nc r="D110">
      <v>2963155.95</v>
    </nc>
  </rcc>
  <rcc rId="3622" sId="1" numFmtId="34">
    <oc r="D118">
      <v>1057252</v>
    </oc>
    <nc r="D118">
      <v>2114504</v>
    </nc>
  </rcc>
  <rcc rId="3623" sId="1" numFmtId="34">
    <oc r="E118">
      <v>1057252</v>
    </oc>
    <nc r="E118">
      <v>2114504</v>
    </nc>
  </rcc>
  <rcc rId="3624" sId="1" numFmtId="34">
    <oc r="F118">
      <v>1057252</v>
    </oc>
    <nc r="F118">
      <v>2114504</v>
    </nc>
  </rcc>
  <rcc rId="3625" sId="1" numFmtId="34">
    <oc r="D122">
      <v>252339.11</v>
    </oc>
    <nc r="D122">
      <v>2523391.11</v>
    </nc>
  </rcc>
  <rcc rId="3626" sId="1" numFmtId="34">
    <oc r="E122">
      <v>0</v>
    </oc>
    <nc r="E122">
      <v>2271052</v>
    </nc>
  </rcc>
  <rcc rId="3627" sId="1" numFmtId="34">
    <oc r="F122">
      <v>0</v>
    </oc>
    <nc r="F122">
      <v>2271052</v>
    </nc>
  </rcc>
  <rcc rId="3628" sId="1" numFmtId="34">
    <oc r="D126">
      <v>117241.45</v>
    </oc>
    <nc r="D126">
      <v>358620.91</v>
    </nc>
  </rcc>
  <rcc rId="3629" sId="1" numFmtId="34">
    <oc r="E126">
      <v>117241.45</v>
    </oc>
    <nc r="E126">
      <v>303615.37</v>
    </nc>
  </rcc>
  <rcc rId="3630" sId="1" numFmtId="34">
    <oc r="F126">
      <v>117241.45</v>
    </oc>
    <nc r="F126">
      <v>303615.37</v>
    </nc>
  </rcc>
  <rcc rId="3631" sId="1" numFmtId="34">
    <oc r="D131">
      <v>84058344.049999997</v>
    </oc>
    <nc r="D131">
      <v>84058344.060000002</v>
    </nc>
  </rcc>
  <rcc rId="3632" sId="1" numFmtId="34">
    <oc r="D135">
      <v>85139959.870000005</v>
    </oc>
    <nc r="D135">
      <v>85139959.859999999</v>
    </nc>
  </rcc>
  <rcv guid="{D9B90A86-BE39-4FED-8226-084809D277F3}" action="delete"/>
  <rdn rId="0" localSheetId="1" customView="1" name="Z_D9B90A86_BE39_4FED_8226_084809D277F3_.wvu.PrintArea" hidden="1" oldHidden="1">
    <formula>'программы '!$A$1:$F$851</formula>
    <oldFormula>'программы '!$A$1:$F$851</oldFormula>
  </rdn>
  <rdn rId="0" localSheetId="1" customView="1" name="Z_D9B90A86_BE39_4FED_8226_084809D277F3_.wvu.Rows" hidden="1" oldHidden="1">
    <formula>'программы '!$276:$280</formula>
    <oldFormula>'программы '!$276:$280</oldFormula>
  </rdn>
  <rdn rId="0" localSheetId="1" customView="1" name="Z_D9B90A86_BE39_4FED_8226_084809D277F3_.wvu.FilterData" hidden="1" oldHidden="1">
    <formula>'программы '!$A$1:$A$864</formula>
    <oldFormula>'программы '!$A$1:$A$864</oldFormula>
  </rdn>
  <rcv guid="{D9B90A86-BE39-4FED-8226-084809D277F3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36" sId="1" numFmtId="34">
    <oc r="D140">
      <v>2892204</v>
    </oc>
    <nc r="D140">
      <v>0</v>
    </nc>
  </rcc>
  <rcc rId="3637" sId="1" numFmtId="34">
    <nc r="D144">
      <v>1387489.8</v>
    </nc>
  </rcc>
  <rcc rId="3638" sId="1" numFmtId="34">
    <nc r="D149">
      <v>4396968.58</v>
    </nc>
  </rcc>
  <rcc rId="3639" sId="1" numFmtId="34">
    <nc r="E149">
      <v>4396968.58</v>
    </nc>
  </rcc>
  <rcc rId="3640" sId="1" numFmtId="34">
    <nc r="F149">
      <v>5315495.72</v>
    </nc>
  </rcc>
  <rrc rId="3641" sId="1" ref="A171:XFD171" action="insertRow">
    <undo index="0" exp="area" ref3D="1" dr="$A$276:$XFD$280" dn="Z_30E81E54_DD45_4653_9DCD_548F6723F554_.wvu.Rows" sId="1"/>
    <undo index="0" exp="area" ref3D="1" dr="$A$276:$XFD$280" dn="Z_D9B90A86_BE39_4FED_8226_084809D277F3_.wvu.Rows" sId="1"/>
  </rrc>
  <rcc rId="3642" sId="1" xfDxf="1" dxf="1">
    <nc r="A171" t="inlineStr">
      <is>
    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    </is>
    </nc>
    <ndxf>
      <font>
        <name val="Times New Roman"/>
        <scheme val="none"/>
      </font>
      <numFmt numFmtId="30" formatCode="@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643" sId="1">
    <nc r="B171" t="inlineStr">
      <is>
        <t>03 3 00 Л8620</t>
      </is>
    </nc>
  </rcc>
  <rcc rId="3644" sId="1" numFmtId="34">
    <nc r="C171">
      <v>614</v>
    </nc>
  </rcc>
  <rcc rId="3645" sId="1">
    <oc r="D169">
      <f>D170</f>
    </oc>
    <nc r="D169">
      <f>D170+D171</f>
    </nc>
  </rcc>
  <rcc rId="3646" sId="1">
    <oc r="E169">
      <f>E170</f>
    </oc>
    <nc r="E169">
      <f>E170+E171</f>
    </nc>
  </rcc>
  <rcc rId="3647" sId="1">
    <oc r="F169">
      <f>F170</f>
    </oc>
    <nc r="F169">
      <f>F170+F171</f>
    </nc>
  </rcc>
  <rcc rId="3648" sId="1" numFmtId="34">
    <nc r="D171">
      <v>83725468</v>
    </nc>
  </rcc>
  <rcc rId="3649" sId="1" numFmtId="34">
    <nc r="E171">
      <v>93470621</v>
    </nc>
  </rcc>
  <rcc rId="3650" sId="1" numFmtId="34">
    <nc r="F171">
      <v>93511032</v>
    </nc>
  </rcc>
  <rcc rId="3651" sId="1" numFmtId="34">
    <oc r="D170">
      <v>83725468</v>
    </oc>
    <nc r="D170">
      <v>0</v>
    </nc>
  </rcc>
  <rcc rId="3652" sId="1" numFmtId="34">
    <oc r="E170">
      <v>93470621</v>
    </oc>
    <nc r="E170">
      <v>0</v>
    </nc>
  </rcc>
  <rcc rId="3653" sId="1" numFmtId="34">
    <oc r="F170">
      <v>93511032</v>
    </oc>
    <nc r="F170">
      <v>0</v>
    </nc>
  </rcc>
  <rcc rId="3654" sId="1" numFmtId="34">
    <oc r="D175">
      <v>16273661.609999999</v>
    </oc>
    <nc r="D175">
      <v>0</v>
    </nc>
  </rcc>
  <rcc rId="3655" sId="1" numFmtId="34">
    <oc r="E175">
      <v>10541287.98</v>
    </oc>
    <nc r="E175">
      <v>0</v>
    </nc>
  </rcc>
  <rcc rId="3656" sId="1" numFmtId="34">
    <oc r="F175">
      <v>10922299.829999998</v>
    </oc>
    <nc r="F175">
      <v>0</v>
    </nc>
  </rcc>
  <rrc rId="3657" sId="1" ref="A176:XFD176" action="insertRow">
    <undo index="0" exp="area" ref3D="1" dr="$A$277:$XFD$281" dn="Z_30E81E54_DD45_4653_9DCD_548F6723F554_.wvu.Rows" sId="1"/>
    <undo index="0" exp="area" ref3D="1" dr="$A$277:$XFD$281" dn="Z_D9B90A86_BE39_4FED_8226_084809D277F3_.wvu.Rows" sId="1"/>
  </rrc>
  <rcc rId="3658" sId="1" xfDxf="1" dxf="1">
    <nc r="A176" t="inlineStr">
      <is>
    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    </is>
    </nc>
    <ndxf>
      <font>
        <name val="Times New Roman"/>
        <scheme val="none"/>
      </font>
      <numFmt numFmtId="30" formatCode="@"/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659" sId="1">
    <nc r="B176" t="inlineStr">
      <is>
        <t>03 3 00 80100</t>
      </is>
    </nc>
  </rcc>
  <rcc rId="3660" sId="1" numFmtId="34">
    <nc r="C176">
      <v>614</v>
    </nc>
  </rcc>
  <rcc rId="3661" sId="1">
    <oc r="D174">
      <f>D175</f>
    </oc>
    <nc r="D174">
      <f>D175+D176</f>
    </nc>
  </rcc>
  <rcc rId="3662" sId="1">
    <oc r="E174">
      <f>E175</f>
    </oc>
    <nc r="E174">
      <f>E175+E176</f>
    </nc>
  </rcc>
  <rcc rId="3663" sId="1">
    <oc r="F174">
      <f>F175</f>
    </oc>
    <nc r="F174">
      <f>F175+F176</f>
    </nc>
  </rcc>
  <rcc rId="3664" sId="1" numFmtId="34">
    <nc r="F176">
      <v>8704511.8300000001</v>
    </nc>
  </rcc>
  <rcc rId="3665" sId="1" numFmtId="34">
    <nc r="E176">
      <v>8536162.9800000004</v>
    </nc>
  </rcc>
  <rcc rId="3666" sId="1" numFmtId="34">
    <nc r="D176">
      <v>16823745.359999999</v>
    </nc>
  </rcc>
  <rcv guid="{D9B90A86-BE39-4FED-8226-084809D277F3}" action="delete"/>
  <rdn rId="0" localSheetId="1" customView="1" name="Z_D9B90A86_BE39_4FED_8226_084809D277F3_.wvu.PrintArea" hidden="1" oldHidden="1">
    <formula>'программы '!$A$1:$F$853</formula>
    <oldFormula>'программы '!$A$1:$F$853</oldFormula>
  </rdn>
  <rdn rId="0" localSheetId="1" customView="1" name="Z_D9B90A86_BE39_4FED_8226_084809D277F3_.wvu.Rows" hidden="1" oldHidden="1">
    <formula>'программы '!$278:$282</formula>
    <oldFormula>'программы '!$278:$282</oldFormula>
  </rdn>
  <rdn rId="0" localSheetId="1" customView="1" name="Z_D9B90A86_BE39_4FED_8226_084809D277F3_.wvu.FilterData" hidden="1" oldHidden="1">
    <formula>'программы '!$A$1:$A$866</formula>
    <oldFormula>'программы '!$A$1:$A$866</oldFormula>
  </rdn>
  <rcv guid="{D9B90A86-BE39-4FED-8226-084809D277F3}" action="add"/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70" sId="1" numFmtId="34">
    <oc r="D190">
      <v>5768465</v>
    </oc>
    <nc r="D190">
      <v>5674106</v>
    </nc>
  </rcc>
  <rcc rId="3671" sId="1" numFmtId="34">
    <oc r="F190">
      <v>5694499</v>
    </oc>
    <nc r="F190">
      <v>7707130</v>
    </nc>
  </rcc>
  <rcc rId="3672" sId="1" numFmtId="34">
    <oc r="E190">
      <v>5729667</v>
    </oc>
    <nc r="E190">
      <v>7734792</v>
    </nc>
  </rcc>
  <rcc rId="3673" sId="1" numFmtId="34">
    <oc r="F191">
      <v>207822</v>
    </oc>
    <nc r="F191">
      <v>205157</v>
    </nc>
  </rcc>
  <rcc rId="3674" sId="1" numFmtId="34">
    <oc r="E191">
      <v>207822</v>
    </oc>
    <nc r="E191">
      <v>206423</v>
    </nc>
  </rcc>
  <rcc rId="3675" sId="1" numFmtId="34">
    <oc r="F193">
      <v>207821</v>
    </oc>
    <nc r="F193">
      <v>205157</v>
    </nc>
  </rcc>
  <rcc rId="3676" sId="1" numFmtId="34">
    <oc r="E193">
      <v>207821</v>
    </oc>
    <nc r="E193">
      <v>206423</v>
    </nc>
  </rcc>
  <rcc rId="3677" sId="1" numFmtId="34">
    <oc r="F195">
      <v>207821</v>
    </oc>
    <nc r="F195">
      <v>205156</v>
    </nc>
  </rcc>
  <rcc rId="3678" sId="1" numFmtId="34">
    <oc r="E195">
      <v>207821</v>
    </oc>
    <nc r="E195">
      <v>206423</v>
    </nc>
  </rcc>
  <rcc rId="3679" sId="1" numFmtId="34">
    <oc r="D198">
      <v>207821</v>
    </oc>
    <nc r="D198">
      <v>202720</v>
    </nc>
  </rcc>
  <rcc rId="3680" sId="1" numFmtId="34">
    <oc r="E198">
      <v>207821</v>
    </oc>
    <nc r="E198">
      <v>244938</v>
    </nc>
  </rcc>
  <rcc rId="3681" sId="1" numFmtId="34">
    <oc r="F198">
      <v>207821</v>
    </oc>
    <nc r="F198">
      <v>243845</v>
    </nc>
  </rcc>
  <rcc rId="3682" sId="1" numFmtId="34">
    <nc r="D181">
      <v>1080363.29</v>
    </nc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83" sId="1" numFmtId="34">
    <oc r="D236">
      <f>6000000+12000000</f>
    </oc>
    <nc r="D236">
      <v>20710000</v>
    </nc>
  </rcc>
  <rcc rId="3684" sId="1" numFmtId="34">
    <nc r="D300">
      <v>6796225</v>
    </nc>
  </rcc>
  <rcc rId="3685" sId="1" numFmtId="34">
    <nc r="E300">
      <v>500000</v>
    </nc>
  </rcc>
  <rcc rId="3686" sId="1" numFmtId="34">
    <nc r="F300">
      <v>500000</v>
    </nc>
  </rcc>
  <rcc rId="3687" sId="1" numFmtId="34">
    <oc r="D304">
      <v>500000</v>
    </oc>
    <nc r="D304">
      <v>0</v>
    </nc>
  </rcc>
  <rcc rId="3688" sId="1" numFmtId="34">
    <oc r="E304">
      <v>500000</v>
    </oc>
    <nc r="E304">
      <v>0</v>
    </nc>
  </rcc>
  <rcc rId="3689" sId="1" numFmtId="34">
    <oc r="F304">
      <v>500000</v>
    </oc>
    <nc r="F304">
      <v>0</v>
    </nc>
  </rcc>
  <rcc rId="3690" sId="1" numFmtId="34">
    <oc r="D288">
      <v>563800</v>
    </oc>
    <nc r="D288">
      <f>533800+30000</f>
    </nc>
  </rcc>
  <rcc rId="3691" sId="1" numFmtId="34">
    <oc r="D291">
      <v>1194300</v>
    </oc>
    <nc r="D291">
      <f>626262+540263.29</f>
    </nc>
  </rcc>
  <rcc rId="3692" sId="1" numFmtId="34">
    <oc r="D292">
      <v>287400</v>
    </oc>
    <nc r="D292">
      <v>315174.71000000002</v>
    </nc>
  </rcc>
  <rcc rId="3693" sId="1" numFmtId="34">
    <oc r="D342">
      <v>1253986.27</v>
    </oc>
    <nc r="D342">
      <v>1022422.6</v>
    </nc>
  </rcc>
  <rcc rId="3694" sId="1" numFmtId="34">
    <oc r="D333">
      <v>4332622.84</v>
    </oc>
    <nc r="D333">
      <v>5816247.3700000001</v>
    </nc>
  </rcc>
  <rcc rId="3695" sId="1" numFmtId="34">
    <oc r="D341">
      <v>1252060.8600000001</v>
    </oc>
    <nc r="D341">
      <v>0</v>
    </nc>
  </rc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96" sId="1" numFmtId="34">
    <nc r="D366">
      <v>2225871.17</v>
    </nc>
  </rcc>
  <rcc rId="3697" sId="1" numFmtId="34">
    <oc r="D362">
      <v>144000</v>
    </oc>
    <nc r="D362">
      <v>0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>
  <rcc rId="2461" sId="1" numFmtId="34">
    <oc r="D113">
      <v>25312506.900000002</v>
    </oc>
    <nc r="D113">
      <v>25907674.970000003</v>
    </nc>
  </rcc>
  <rcc rId="2462" sId="1" numFmtId="34">
    <oc r="E113">
      <v>24813556.43</v>
    </oc>
    <nc r="E113">
      <v>24437441.52</v>
    </nc>
  </rcc>
  <rcc rId="2463" sId="1" numFmtId="34">
    <oc r="F113">
      <v>23422847.390000001</v>
    </oc>
    <nc r="F113">
      <v>22550792.98</v>
    </nc>
  </rcc>
  <rcc rId="2464" sId="1">
    <oc r="A164" t="inlineStr">
      <is>
        <t>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</t>
      </is>
    </oc>
    <nc r="A164" t="inlineStr">
      <is>
        <t>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</t>
      </is>
    </nc>
  </rcc>
  <rrc rId="2465" sId="1" ref="A32:XFD34" action="insertRow">
    <undo index="0" exp="area" ref3D="1" dr="$A$219:$IV$223" dn="Z_30E81E54_DD45_4653_9DCD_548F6723F554_.wvu.Rows" sId="1"/>
  </rrc>
  <rcc rId="2466" sId="1">
    <nc r="A32" t="inlineStr">
      <is>
        <t>Зарезервированные средства на дорожную деятельность</t>
      </is>
    </nc>
  </rcc>
  <rcc rId="2467" sId="1">
    <nc r="A33" t="inlineStr">
      <is>
        <t>Иные бюджетные ассигнования</t>
      </is>
    </nc>
  </rcc>
  <rcc rId="2468" sId="1">
    <nc r="A34" t="inlineStr">
      <is>
        <t>Резервные средства</t>
      </is>
    </nc>
  </rcc>
  <rcc rId="2469" sId="1">
    <nc r="B32" t="inlineStr">
      <is>
        <t>02 0 00 83290</t>
      </is>
    </nc>
  </rcc>
  <rcc rId="2470" sId="1">
    <nc r="C32"/>
  </rcc>
  <rcc rId="2471" sId="1">
    <nc r="B33" t="inlineStr">
      <is>
        <t>02 0 00 83290</t>
      </is>
    </nc>
  </rcc>
  <rcc rId="2472" sId="1">
    <nc r="C33" t="inlineStr">
      <is>
        <t>800</t>
      </is>
    </nc>
  </rcc>
  <rcc rId="2473" sId="1">
    <nc r="B34" t="inlineStr">
      <is>
        <t>02 0 00 83290</t>
      </is>
    </nc>
  </rcc>
  <rcc rId="2474" sId="1">
    <nc r="C34" t="inlineStr">
      <is>
        <t>870</t>
      </is>
    </nc>
  </rcc>
  <rcc rId="2475" sId="1" numFmtId="34">
    <nc r="D34">
      <v>5283970.16</v>
    </nc>
  </rcc>
  <rcc rId="2476" sId="1" numFmtId="34">
    <nc r="E34">
      <v>0</v>
    </nc>
  </rcc>
  <rcc rId="2477" sId="1" numFmtId="34">
    <nc r="F34">
      <v>0</v>
    </nc>
  </rcc>
  <rcc rId="2478" sId="1">
    <nc r="D32">
      <f>D33</f>
    </nc>
  </rcc>
  <rcc rId="2479" sId="1">
    <nc r="D33">
      <f>D34</f>
    </nc>
  </rcc>
  <rcc rId="2480" sId="1">
    <nc r="E32">
      <f>E33</f>
    </nc>
  </rcc>
  <rcc rId="2481" sId="1">
    <nc r="F32">
      <f>F33</f>
    </nc>
  </rcc>
  <rcc rId="2482" sId="1">
    <nc r="E33">
      <f>E34</f>
    </nc>
  </rcc>
  <rcc rId="2483" sId="1">
    <nc r="F33">
      <f>F34</f>
    </nc>
  </rcc>
  <rcc rId="2484" sId="1">
    <oc r="D19">
      <f>D28+D20+D24</f>
    </oc>
    <nc r="D19">
      <f>D28+D20+D24+D32</f>
    </nc>
  </rcc>
  <rcc rId="2485" sId="1">
    <oc r="E19">
      <f>E28+E20+E24</f>
    </oc>
    <nc r="E19">
      <f>E28+E20+E24+E32</f>
    </nc>
  </rcc>
  <rcc rId="2486" sId="1">
    <oc r="F19">
      <f>F28+F20+F24</f>
    </oc>
    <nc r="F19">
      <f>F28+F20+F24+F32</f>
    </nc>
  </rcc>
  <rcc rId="2487" sId="1">
    <oc r="A20" t="inlineStr">
      <is>
        <t>Иные межбюджетные трансферты бюджетам муниципальных округов Архангельской области на реализацию мероприятий по социально-экономическому развитию</t>
      </is>
    </oc>
    <nc r="A20" t="inlineStr">
      <is>
        <t>Реализация мероприятий по социально-экономическому развитию</t>
      </is>
    </nc>
  </rcc>
  <rcc rId="2488" sId="1">
    <oc r="A177" t="inlineStr">
      <is>
        <t>Иные межбюджетные трансферты бюджетам муниципальных округов Архангельской области на реализацию мероприятий по социально-экономическому развитию</t>
      </is>
    </oc>
    <nc r="A177" t="inlineStr">
      <is>
        <t>Реализация мероприятий по социально-экономическому развитию</t>
      </is>
    </nc>
  </rcc>
  <rcc rId="2489" sId="1">
    <oc r="A209" t="inlineStr">
      <is>
        <t>Иные межбюджетные трансферты бюджетам муниципальных округов Архангельской области на реализацию мероприятий по социально-экономическому развитию</t>
      </is>
    </oc>
    <nc r="A209" t="inlineStr">
      <is>
        <t>Реализация мероприятий по социально-экономическому развитию</t>
      </is>
    </nc>
  </rcc>
  <rcc rId="2490" sId="1">
    <oc r="A249" t="inlineStr">
      <is>
        <t>Реализация федеральной целевой программы "Увековечивание памяти погибших при защите Отечества на 2019-2024 годы"</t>
      </is>
    </oc>
    <nc r="A249" t="inlineStr">
      <is>
        <t>Реализация федеральной целевой программы "Увековечение памяти погибших при защите Отечества на 2019-2024 годы"</t>
      </is>
    </nc>
  </rcc>
  <rcc rId="2491" sId="1">
    <oc r="A258" t="inlineStr">
      <is>
        <t>Иные межбюджетные трансферты бюджетам муниципальных округов Архангельской области на реализацию мероприятий по социально-экономическому развитию</t>
      </is>
    </oc>
    <nc r="A258" t="inlineStr">
      <is>
        <t>Реализация мероприятий по социально-экономическому развитию</t>
      </is>
    </nc>
  </rcc>
  <rcc rId="2492" sId="1">
    <oc r="A289" t="inlineStr">
      <is>
        <t>Субвенции бюджетам муниципальных районов, муниципальных округов и городских округов Архангельской области на осуществление государственных полномочий по формированию торгового реестра</t>
      </is>
    </oc>
    <nc r="A289" t="inlineStr">
      <is>
        <t>Осуществление государственных полномочий по формированию торгового реестра</t>
      </is>
    </nc>
  </rcc>
  <rcc rId="2493" sId="1">
    <oc r="A379" t="inlineStr">
      <is>
        <t>Субвенции бюджетам муниципальных районов, муниципальных округов и городских округов Архангельской области на осуществление государственных полномочий в сфере охраны труда</t>
      </is>
    </oc>
    <nc r="A379" t="inlineStr">
      <is>
        <t>Осуществление государственных полномочий в сфере охраны труда</t>
      </is>
    </nc>
  </rcc>
  <rcc rId="2494" sId="1" numFmtId="34">
    <oc r="D401">
      <v>83700</v>
    </oc>
    <nc r="D401">
      <v>177125</v>
    </nc>
  </rcc>
  <rcc rId="2495" sId="1">
    <oc r="A438" t="inlineStr">
      <is>
    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Фонда содействия реформирования жилищно-коммунального хозяйства</t>
      </is>
    </oc>
    <nc r="A438" t="inlineStr">
      <is>
        <t>Обеспечение мероприятий по переселению граждан из аварийного жилищного фонда за счет средств, поступивших от публично-правовой компании "Фонд развития территорий"</t>
      </is>
    </nc>
  </rcc>
  <rcc rId="2496" sId="1">
    <oc r="A447" t="inlineStr">
      <is>
    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 субъектов Российской Федерации</t>
      </is>
    </oc>
    <nc r="A447" t="inlineStr">
      <is>
        <t>Обеспечение мероприятий по переселению граждан из аварийного жилищного фонда за счет средств бюджетов субъектов Российской Федерации</t>
      </is>
    </nc>
  </rcc>
  <rcc rId="2497" sId="1">
    <oc r="A463" t="inlineStr">
      <is>
        <t>Иные межбюджетные трансферты бюджетам муниципальных округов Архангельской области на реализацию мероприятий по социально-экономическому развитию</t>
      </is>
    </oc>
    <nc r="A463" t="inlineStr">
      <is>
        <t>Реализация мероприятий по социально-экономическому развитию</t>
      </is>
    </nc>
  </rcc>
  <rcc rId="2498" sId="1" numFmtId="34">
    <oc r="D502">
      <v>180000</v>
    </oc>
    <nc r="D502">
      <v>719100</v>
    </nc>
  </rcc>
  <rcc rId="2499" sId="1">
    <oc r="A551" t="inlineStr">
      <is>
        <t>Субвенции бюджетам муниципальных районов, муниципальных округов и городских округов Архангельской области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    </is>
    </oc>
    <nc r="A551" t="inlineStr">
      <is>
    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    </is>
    </nc>
  </rcc>
  <rcc rId="2500" sId="1">
    <oc r="A555" t="inlineStr">
      <is>
        <t>Единая субвенция местным бюджетам</t>
      </is>
    </oc>
    <nc r="A555" t="inlineStr">
      <is>
        <t xml:space="preserve">Единая субвенция </t>
      </is>
    </nc>
  </rcc>
  <rcc rId="2501" sId="1">
    <oc r="A565" t="inlineStr">
      <is>
        <t>Осуществление государственных полномочий в сфере административных правонарушений</t>
      </is>
    </oc>
    <nc r="A565" t="inlineStr">
      <is>
    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в сфере административных правонарушений</t>
      </is>
    </nc>
  </rcc>
  <rcc rId="2502" sId="1">
    <oc r="A556" t="inlineStr">
      <is>
        <t>Осуществление  государственных полномочий Архангельской области по созданию комиссий по делам несовершеннолетних и защите их прав</t>
      </is>
    </oc>
    <nc r="A556" t="inlineStr">
      <is>
        <t>Осуществление переданных органам местного самоуправления муниципальных образований Архангельской области государственных полномочий Архангельской области по созданию комиссий по делам несовершеннолетних и защите их прав</t>
      </is>
    </nc>
  </rcc>
  <rcc rId="2503" sId="1">
    <oc r="A551" t="inlineStr">
      <is>
    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    </is>
    </oc>
    <nc r="A551" t="inlineStr">
      <is>
    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    </is>
    </nc>
  </rcc>
  <rcc rId="2504" sId="1" odxf="1" dxf="1">
    <oc r="B551" t="inlineStr">
      <is>
        <t>54 1 00 Л8690</t>
      </is>
    </oc>
    <nc r="B551" t="inlineStr">
      <is>
        <t>54 1 00 51200</t>
      </is>
    </nc>
    <odxf>
      <border outline="0">
        <top/>
      </border>
    </odxf>
    <ndxf>
      <border outline="0">
        <top style="thin">
          <color indexed="64"/>
        </top>
      </border>
    </ndxf>
  </rcc>
  <rcc rId="2505" sId="1" odxf="1" dxf="1">
    <nc r="C551"/>
    <odxf>
      <numFmt numFmtId="30" formatCode="@"/>
    </odxf>
    <ndxf>
      <numFmt numFmtId="0" formatCode="General"/>
    </ndxf>
  </rcc>
  <rcc rId="2506" sId="1">
    <oc r="D551">
      <f>D553</f>
    </oc>
    <nc r="D551">
      <f>D553</f>
    </nc>
  </rcc>
  <rcc rId="2507" sId="1">
    <oc r="E551">
      <f>E553</f>
    </oc>
    <nc r="E551">
      <f>E553</f>
    </nc>
  </rcc>
  <rcc rId="2508" sId="1">
    <oc r="F551">
      <f>F553</f>
    </oc>
    <nc r="F551">
      <f>F553</f>
    </nc>
  </rcc>
  <rcc rId="2509" sId="1">
    <oc r="A552" t="inlineStr">
      <is>
        <t>Закупка товаров, работ и услуг для обеспечения государственных (муниципальных) нужд</t>
      </is>
    </oc>
    <nc r="A552" t="inlineStr">
      <is>
        <t>Закупка товаров, работ и услуг для обеспечения государственных (муниципальных) нужд</t>
      </is>
    </nc>
  </rcc>
  <rcc rId="2510" sId="1" odxf="1" dxf="1">
    <oc r="B552" t="inlineStr">
      <is>
        <t>54 1 00 Л8690</t>
      </is>
    </oc>
    <nc r="B552" t="inlineStr">
      <is>
        <t>54 1 00 51200</t>
      </is>
    </nc>
    <odxf>
      <border outline="0">
        <top/>
      </border>
    </odxf>
    <ndxf>
      <border outline="0">
        <top style="thin">
          <color indexed="64"/>
        </top>
      </border>
    </ndxf>
  </rcc>
  <rcc rId="2511" sId="1" odxf="1" dxf="1">
    <oc r="C552" t="inlineStr">
      <is>
        <t>200</t>
      </is>
    </oc>
    <nc r="C552">
      <v>200</v>
    </nc>
    <odxf>
      <numFmt numFmtId="30" formatCode="@"/>
    </odxf>
    <ndxf>
      <numFmt numFmtId="0" formatCode="General"/>
    </ndxf>
  </rcc>
  <rcc rId="2512" sId="1">
    <oc r="D552">
      <f>D553</f>
    </oc>
    <nc r="D552">
      <f>D553</f>
    </nc>
  </rcc>
  <rcc rId="2513" sId="1">
    <oc r="E552">
      <f>E553</f>
    </oc>
    <nc r="E552">
      <f>E553</f>
    </nc>
  </rcc>
  <rcc rId="2514" sId="1">
    <oc r="F552">
      <f>F553</f>
    </oc>
    <nc r="F552">
      <f>F553</f>
    </nc>
  </rcc>
  <rcc rId="2515" sId="1">
    <oc r="A553" t="inlineStr">
      <is>
        <t>Иные закупки товаров,работ и услуг для обеспечения государственных (муниципальных) нужд</t>
      </is>
    </oc>
    <nc r="A553" t="inlineStr">
      <is>
        <t>Иные закупки товаров,работ и услуг для обеспечения государственных (муниципальных) нужд</t>
      </is>
    </nc>
  </rcc>
  <rcc rId="2516" sId="1" odxf="1" dxf="1">
    <oc r="B553" t="inlineStr">
      <is>
        <t>54 1 00 Л8690</t>
      </is>
    </oc>
    <nc r="B553" t="inlineStr">
      <is>
        <t>54 1 00 51200</t>
      </is>
    </nc>
    <odxf>
      <border outline="0">
        <top/>
      </border>
    </odxf>
    <ndxf>
      <border outline="0">
        <top style="thin">
          <color indexed="64"/>
        </top>
      </border>
    </ndxf>
  </rcc>
  <rcc rId="2517" sId="1" odxf="1" dxf="1">
    <oc r="C553" t="inlineStr">
      <is>
        <t>240</t>
      </is>
    </oc>
    <nc r="C553">
      <v>240</v>
    </nc>
    <odxf>
      <numFmt numFmtId="30" formatCode="@"/>
    </odxf>
    <ndxf>
      <numFmt numFmtId="0" formatCode="General"/>
    </ndxf>
  </rcc>
  <rcc rId="2518" sId="1">
    <oc r="D553">
      <f>D554</f>
    </oc>
    <nc r="D553">
      <f>D554</f>
    </nc>
  </rcc>
  <rcc rId="2519" sId="1">
    <oc r="E553">
      <f>E554</f>
    </oc>
    <nc r="E553">
      <f>E554</f>
    </nc>
  </rcc>
  <rcc rId="2520" sId="1">
    <oc r="F553">
      <f>F554</f>
    </oc>
    <nc r="F553">
      <f>F554</f>
    </nc>
  </rcc>
  <rcc rId="2521" sId="1" odxf="1" dxf="1">
    <oc r="A554" t="inlineStr">
      <is>
        <t xml:space="preserve">Прочая закупка товаров, работ и услуг </t>
      </is>
    </oc>
    <nc r="A554" t="inlineStr">
      <is>
        <t>Прочая закупка товаров, работ и услуг</t>
      </is>
    </nc>
    <odxf>
      <alignment wrapText="1" readingOrder="0"/>
    </odxf>
    <ndxf>
      <alignment wrapText="0" readingOrder="0"/>
    </ndxf>
  </rcc>
  <rcc rId="2522" sId="1" odxf="1" dxf="1">
    <oc r="B554" t="inlineStr">
      <is>
        <t>54 1 00 Л8690</t>
      </is>
    </oc>
    <nc r="B554" t="inlineStr">
      <is>
        <t>54 1 00 51200</t>
      </is>
    </nc>
    <odxf>
      <border outline="0">
        <top/>
      </border>
    </odxf>
    <ndxf>
      <border outline="0">
        <top style="thin">
          <color indexed="64"/>
        </top>
      </border>
    </ndxf>
  </rcc>
  <rcc rId="2523" sId="1" odxf="1" dxf="1">
    <oc r="C554" t="inlineStr">
      <is>
        <t>244</t>
      </is>
    </oc>
    <nc r="C554">
      <v>244</v>
    </nc>
    <odxf>
      <numFmt numFmtId="30" formatCode="@"/>
    </odxf>
    <ndxf>
      <numFmt numFmtId="0" formatCode="General"/>
    </ndxf>
  </rcc>
  <rcc rId="2524" sId="1" numFmtId="34">
    <oc r="D554">
      <v>28000</v>
    </oc>
    <nc r="D554">
      <v>1481.71</v>
    </nc>
  </rcc>
  <rcc rId="2525" sId="1" numFmtId="34">
    <oc r="E554">
      <v>28000</v>
    </oc>
    <nc r="E554">
      <v>1321.79</v>
    </nc>
  </rcc>
  <rcc rId="2526" sId="1" numFmtId="34">
    <oc r="F554">
      <v>28000</v>
    </oc>
    <nc r="F554">
      <v>1321.95</v>
    </nc>
  </rcc>
  <rcc rId="2527" sId="1" odxf="1" dxf="1">
    <oc r="B551" t="inlineStr">
      <is>
        <t>54 1 00 51200</t>
      </is>
    </oc>
    <nc r="B551" t="inlineStr">
      <is>
        <t>54 1 00 51201</t>
      </is>
    </nc>
    <odxf>
      <fill>
        <patternFill patternType="none">
          <bgColor indexed="65"/>
        </patternFill>
      </fill>
    </odxf>
    <ndxf>
      <fill>
        <patternFill patternType="solid">
          <bgColor indexed="51"/>
        </patternFill>
      </fill>
    </ndxf>
  </rcc>
  <rcc rId="2528" sId="1" odxf="1" dxf="1">
    <oc r="B552" t="inlineStr">
      <is>
        <t>54 1 00 51200</t>
      </is>
    </oc>
    <nc r="B552" t="inlineStr">
      <is>
        <t>54 1 00 51201</t>
      </is>
    </nc>
    <odxf>
      <fill>
        <patternFill patternType="none">
          <bgColor indexed="65"/>
        </patternFill>
      </fill>
    </odxf>
    <ndxf>
      <fill>
        <patternFill patternType="solid">
          <bgColor indexed="51"/>
        </patternFill>
      </fill>
    </ndxf>
  </rcc>
  <rcc rId="2529" sId="1" odxf="1" dxf="1">
    <oc r="B553" t="inlineStr">
      <is>
        <t>54 1 00 51200</t>
      </is>
    </oc>
    <nc r="B553" t="inlineStr">
      <is>
        <t>54 1 00 51201</t>
      </is>
    </nc>
    <odxf>
      <fill>
        <patternFill patternType="none">
          <bgColor indexed="65"/>
        </patternFill>
      </fill>
    </odxf>
    <ndxf>
      <fill>
        <patternFill patternType="solid">
          <bgColor indexed="51"/>
        </patternFill>
      </fill>
    </ndxf>
  </rcc>
  <rcc rId="2530" sId="1" odxf="1" dxf="1">
    <oc r="B554" t="inlineStr">
      <is>
        <t>54 1 00 51200</t>
      </is>
    </oc>
    <nc r="B554" t="inlineStr">
      <is>
        <t>54 1 00 51201</t>
      </is>
    </nc>
    <odxf>
      <fill>
        <patternFill patternType="none">
          <bgColor indexed="65"/>
        </patternFill>
      </fill>
    </odxf>
    <ndxf>
      <fill>
        <patternFill patternType="solid">
          <bgColor indexed="51"/>
        </patternFill>
      </fill>
    </ndxf>
  </rcc>
  <rcc rId="2531" sId="1" numFmtId="34">
    <oc r="D550">
      <v>1481.71</v>
    </oc>
    <nc r="D550">
      <v>0</v>
    </nc>
  </rcc>
  <rcc rId="2532" sId="1" numFmtId="34">
    <oc r="E550">
      <v>1321.79</v>
    </oc>
    <nc r="E550">
      <v>0</v>
    </nc>
  </rcc>
  <rcc rId="2533" sId="1" numFmtId="34">
    <oc r="F550">
      <v>1321.95</v>
    </oc>
    <nc r="F550">
      <v>0</v>
    </nc>
  </rcc>
  <rcc rId="2534" sId="1" numFmtId="34">
    <oc r="D554">
      <v>1481.71</v>
    </oc>
    <nc r="D554">
      <v>5186.05</v>
    </nc>
  </rcc>
  <rcc rId="2535" sId="1" numFmtId="34">
    <oc r="E554">
      <v>1321.79</v>
    </oc>
    <nc r="E554">
      <v>5385.9</v>
    </nc>
  </rcc>
  <rcc rId="2536" sId="1" numFmtId="34">
    <oc r="F554">
      <v>1321.95</v>
    </oc>
    <nc r="F554">
      <v>173249.40000000002</v>
    </nc>
  </rcc>
  <rfmt sheetId="1" sqref="B551:B554" start="0" length="0">
    <dxf>
      <fill>
        <patternFill patternType="none">
          <bgColor indexed="65"/>
        </patternFill>
      </fill>
    </dxf>
  </rfmt>
  <rcc rId="2537" sId="1" numFmtId="34">
    <oc r="D590">
      <f>998128.06-111540.89</f>
    </oc>
    <nc r="D590">
      <v>16008611.709999999</v>
    </nc>
  </rcc>
  <rrc rId="2538" sId="1" ref="A591:XFD593" action="insertRow"/>
  <rcc rId="2539" sId="1">
    <nc r="A591" t="inlineStr">
      <is>
        <t>Социальное обеспечение и иные выплаты населению</t>
      </is>
    </nc>
  </rcc>
  <rcc rId="2540" sId="1">
    <nc r="A592" t="inlineStr">
      <is>
        <t>Социальные выплаты гражданам, кроме публичных нормативных социальных выплат</t>
      </is>
    </nc>
  </rcc>
  <rrc rId="2541" sId="1" ref="A593:XFD593" action="deleteRow">
    <rfmt sheetId="1" xfDxf="1" sqref="A593:IV593" start="0" length="0">
      <dxf>
        <font>
          <name val="Times New Roman"/>
          <scheme val="none"/>
        </font>
      </dxf>
    </rfmt>
    <rfmt sheetId="1" sqref="A593" start="0" length="0">
      <dxf>
        <alignment horizontal="justify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qref="B593" start="0" length="0">
      <dxf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593" start="0" length="0">
      <dxf>
        <numFmt numFmtId="30" formatCode="@"/>
        <alignment horizontal="center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593" start="0" length="0">
      <dxf>
        <numFmt numFmtId="171" formatCode="_-* #,##0.00_р_._-;\-* #,##0.00_р_._-;_-* &quot;-&quot;??_р_._-;_-@_-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593" start="0" length="0">
      <dxf>
        <numFmt numFmtId="171" formatCode="_-* #,##0.00_р_._-;\-* #,##0.00_р_._-;_-* &quot;-&quot;??_р_._-;_-@_-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593" start="0" length="0">
      <dxf>
        <numFmt numFmtId="171" formatCode="_-* #,##0.00_р_._-;\-* #,##0.00_р_._-;_-* &quot;-&quot;??_р_._-;_-@_-"/>
        <alignment vertic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2542" sId="1">
    <nc r="B591" t="inlineStr">
      <is>
        <t>55 0 00 81400</t>
      </is>
    </nc>
  </rcc>
  <rcc rId="2543" sId="1" numFmtId="30">
    <nc r="C591">
      <v>300</v>
    </nc>
  </rcc>
  <rcc rId="2544" sId="1">
    <nc r="B592" t="inlineStr">
      <is>
        <t>55 0 00 81400</t>
      </is>
    </nc>
  </rcc>
  <rcc rId="2545" sId="1" numFmtId="30">
    <nc r="C592">
      <v>320</v>
    </nc>
  </rcc>
  <rcc rId="2546" sId="1" numFmtId="34">
    <nc r="D592">
      <v>20000</v>
    </nc>
  </rcc>
  <rcc rId="2547" sId="1" numFmtId="34">
    <nc r="E592">
      <v>0</v>
    </nc>
  </rcc>
  <rcc rId="2548" sId="1" numFmtId="34">
    <nc r="F592">
      <v>0</v>
    </nc>
  </rcc>
  <rcc rId="2549" sId="1">
    <nc r="D591">
      <f>D592</f>
    </nc>
  </rcc>
  <rcc rId="2550" sId="1">
    <nc r="E591">
      <f>E592</f>
    </nc>
  </rcc>
  <rcc rId="2551" sId="1">
    <nc r="F591">
      <f>F592</f>
    </nc>
  </rcc>
  <rcc rId="2552" sId="1">
    <oc r="D588">
      <f>D590</f>
    </oc>
    <nc r="D588">
      <f>D589+D591</f>
    </nc>
  </rcc>
  <rcc rId="2553" sId="1">
    <oc r="E588">
      <f>E590</f>
    </oc>
    <nc r="E588">
      <f>E589+E591</f>
    </nc>
  </rcc>
  <rcc rId="2554" sId="1">
    <oc r="F588">
      <f>F590</f>
    </oc>
    <nc r="F588">
      <f>F589+F591</f>
    </nc>
  </rcc>
  <rcc rId="2555" sId="1">
    <oc r="D587">
      <f>SUM(D588)</f>
    </oc>
    <nc r="D587">
      <f>SUM(D588)</f>
    </nc>
  </rcc>
  <rcc rId="2556" sId="1">
    <oc r="A594" t="inlineStr">
      <is>
        <t>Осуществление первичного воинского учета органами местного самоуправления поселений, муниципальных и городских округов (субвенции бюджетам муниципальных районов, муниципальных округов и городских округов Архангельской области)</t>
      </is>
    </oc>
    <nc r="A594" t="inlineStr">
      <is>
        <t>Осуществление первичного воинского учета органами местного самоуправления поселений, муниципальных и городских округов</t>
      </is>
    </nc>
  </rcc>
  <rcc rId="2557" sId="1">
    <oc r="A625" t="inlineStr">
      <is>
        <t>Иные межбюджетные трансферты бюджетам муниципальных округов Архангельской области на реализацию мероприятий по социально-экономическому развитию</t>
      </is>
    </oc>
    <nc r="A625" t="inlineStr">
      <is>
        <t>Реализация мероприятий по социально-экономическому развитию</t>
      </is>
    </nc>
  </rcc>
  <rcc rId="2558" sId="1">
    <oc r="A676" t="inlineStr">
      <is>
        <t>Иные межбюджетные трансферты бюджетам муниципальных районов, муниципальных округов и городских округов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«О ветеранах»</t>
      </is>
    </oc>
    <nc r="A676" t="inlineStr">
      <is>
    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«О ветеранах»</t>
      </is>
    </nc>
  </rcc>
  <rcc rId="2559" sId="1">
    <oc r="A681" t="inlineStr">
      <is>
        <t>Единая субвенция бюджетам муниципальных районов, муниципальных округов и городских округов Архангельской области</t>
      </is>
    </oc>
    <nc r="A681" t="inlineStr">
      <is>
        <t>Единая субвенция</t>
      </is>
    </nc>
  </rcc>
  <rcc rId="2560" sId="1">
    <oc r="A691" t="inlineStr">
      <is>
        <t>Субвенции бюджетам муниципальных районов, муниципальных округов и городских округов Архангельской области на осуществление государственных полномочий по выплате вознаграждений профессиональным опекунам</t>
      </is>
    </oc>
    <nc r="A691" t="inlineStr">
      <is>
        <t>Осуществление государственных полномочий по выплате вознаграждений профессиональным опекунам</t>
      </is>
    </nc>
  </rcc>
  <rcc rId="2561" sId="1">
    <oc r="A663" t="inlineStr">
      <is>
    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(субвенции бюджетам муниципальных районов, муниципальных округов и городских округов Архангельской области в рамках соглашения между Министерством строительства и жилищно-коммунального хозяйства Российской Федерации и Правительством Архангельской области)</t>
      </is>
    </oc>
    <nc r="A663" t="inlineStr">
      <is>
    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    </is>
    </nc>
  </rcc>
  <rcc rId="2562" sId="1">
    <oc r="A667" t="inlineStr">
      <is>
        <t>Субвенции бюджетам муниципальных районов, муниципальных округов и городских округов Архангельской области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    </is>
    </oc>
    <nc r="A667" t="inlineStr">
      <is>
    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    </is>
    </nc>
  </rcc>
  <rcc rId="2563" sId="1">
    <oc r="A671" t="inlineStr">
      <is>
        <t>Субвенции бюджетам муниципальных районов, муниципальных округов и городских округов Архангельской области на предоставление государственных жилищных сертификатов детям-сиротам и детям, оставшимся без попечения родителей, лицам из их числа на приобретение жилых помещений в Архангельской области</t>
      </is>
    </oc>
    <nc r="A671" t="inlineStr">
      <is>
        <t>Предоставление государственных жилищных сертификатов детям-сиротам и детям, оставшимся без попечения родителей, лицам из их числа на приобретение жилых помещений в Архангельской области</t>
      </is>
    </nc>
  </rcc>
  <rcc rId="2564" sId="1" numFmtId="34">
    <oc r="D670">
      <v>4428772.83</v>
    </oc>
    <nc r="D670">
      <v>4427614.2</v>
    </nc>
  </rcc>
  <rcc rId="2565" sId="1" numFmtId="34">
    <oc r="E670">
      <v>2555040.48</v>
    </oc>
    <nc r="E670">
      <v>2683652.1</v>
    </nc>
  </rcc>
  <rcc rId="2566" sId="1" numFmtId="34">
    <oc r="F670">
      <v>2555040.48</v>
    </oc>
    <nc r="F670">
      <v>2683722.08</v>
    </nc>
  </rcc>
  <rcc rId="2567" sId="1" numFmtId="34">
    <oc r="D705">
      <v>12927368.93</v>
    </oc>
    <nc r="D705">
      <v>19945958.699999999</v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98" sId="1" numFmtId="34">
    <oc r="D379">
      <v>24382739.399999999</v>
    </oc>
    <nc r="D379">
      <v>24376545.23</v>
    </nc>
  </rcc>
  <rcc rId="3699" sId="1" numFmtId="34">
    <oc r="D384">
      <v>212877.87</v>
    </oc>
    <nc r="D384">
      <v>236759.26</v>
    </nc>
  </rcc>
  <rcc rId="3700" sId="1" numFmtId="34">
    <oc r="E384">
      <v>213126.22</v>
    </oc>
    <nc r="E384">
      <v>234666.55</v>
    </nc>
  </rcc>
  <rcc rId="3701" sId="1" numFmtId="34">
    <oc r="F384">
      <v>224776.19</v>
    </oc>
    <nc r="F384">
      <v>241402.04</v>
    </nc>
  </rcc>
  <rcc rId="3702" sId="1" numFmtId="34">
    <oc r="D392">
      <v>127853.87</v>
    </oc>
    <nc r="D392">
      <v>165914.20000000001</v>
    </nc>
  </rcc>
  <rcc rId="3703" sId="1" numFmtId="34">
    <oc r="E392">
      <v>127853.87</v>
    </oc>
    <nc r="E392">
      <v>162108.17000000001</v>
    </nc>
  </rcc>
  <rcc rId="3704" sId="1" numFmtId="34">
    <oc r="F392">
      <v>127853.87</v>
    </oc>
    <nc r="F392">
      <v>162108.17000000001</v>
    </nc>
  </rcc>
  <rcc rId="3705" sId="1" numFmtId="34">
    <oc r="D424">
      <v>4049967.12</v>
    </oc>
    <nc r="D424">
      <v>5252591.24</v>
    </nc>
  </rcc>
  <rcc rId="3706" sId="1" numFmtId="34">
    <oc r="D425">
      <v>100000</v>
    </oc>
    <nc r="D425">
      <v>120655.72</v>
    </nc>
  </rcc>
  <rcc rId="3707" sId="1" numFmtId="34">
    <oc r="D426">
      <v>1223090.07</v>
    </oc>
    <nc r="D426">
      <v>1586282.55</v>
    </nc>
  </rcc>
  <rcc rId="3708" sId="1" numFmtId="34">
    <oc r="D429">
      <v>322996.43</v>
    </oc>
    <nc r="D429">
      <v>332996.43</v>
    </nc>
  </rcc>
  <rcc rId="3709" sId="1" numFmtId="34">
    <oc r="D440">
      <v>756000</v>
    </oc>
    <nc r="D440">
      <v>153035</v>
    </nc>
  </rcc>
  <rcc rId="3710" sId="1" numFmtId="34">
    <nc r="D444">
      <v>1512000</v>
    </nc>
  </rcc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1" sId="1" numFmtId="34">
    <oc r="D482">
      <v>1430148.63</v>
    </oc>
    <nc r="D482">
      <f>55099.99+1375048.64</f>
    </nc>
  </rcc>
  <rcc rId="3712" sId="1" numFmtId="34">
    <nc r="D486">
      <v>28325</v>
    </nc>
  </rcc>
  <rcc rId="3713" sId="1" numFmtId="34">
    <nc r="E486">
      <v>20461.62</v>
    </nc>
  </rcc>
  <rcc rId="3714" sId="1" numFmtId="34">
    <nc r="F486">
      <v>20461.62</v>
    </nc>
  </rcc>
  <rcc rId="3715" sId="1" numFmtId="34">
    <oc r="D491">
      <v>111423.51</v>
    </oc>
    <nc r="D491"/>
  </rcc>
  <rcc rId="3716" sId="1" numFmtId="34">
    <nc r="D495">
      <v>5042333.07</v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7" sId="1" numFmtId="34">
    <nc r="D509">
      <v>45921098.280000001</v>
    </nc>
  </rcc>
  <rcc rId="3718" sId="1" numFmtId="34">
    <oc r="D505">
      <v>1871.94</v>
    </oc>
    <nc r="D505"/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19" sId="1" numFmtId="34">
    <oc r="D526">
      <v>17061392.32</v>
    </oc>
    <nc r="D526">
      <v>3353991.2</v>
    </nc>
  </rcc>
  <rcc rId="3720" sId="1" numFmtId="34">
    <oc r="D535">
      <v>348191.68</v>
    </oc>
    <nc r="D535">
      <v>68448.800000000003</v>
    </nc>
  </rcc>
  <rcc rId="3721" sId="1" numFmtId="34">
    <oc r="D538">
      <v>0</v>
    </oc>
    <nc r="D538">
      <v>141284</v>
    </nc>
  </rcc>
  <rcc rId="3722" sId="1" numFmtId="34">
    <oc r="D531">
      <v>0</v>
    </oc>
    <nc r="D531">
      <v>7287280</v>
    </nc>
  </rcc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23" sId="1" numFmtId="34">
    <oc r="D562">
      <v>11583650.4</v>
    </oc>
    <nc r="D562">
      <f>10307073.16</f>
    </nc>
  </rcc>
  <rcc rId="3724" sId="1" numFmtId="34">
    <oc r="D564">
      <v>3498262.42</v>
    </oc>
    <nc r="D564">
      <v>3112736.09</v>
    </nc>
  </rcc>
  <rcc rId="3725" sId="1" numFmtId="34">
    <oc r="D567">
      <v>940800</v>
    </oc>
    <nc r="D567">
      <v>893200</v>
    </nc>
  </rcc>
  <rcc rId="3726" sId="1" numFmtId="34">
    <oc r="D578">
      <f>14735000+7094414.27-538300</f>
    </oc>
    <nc r="D578">
      <v>19791114.27</v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27" sId="1" numFmtId="34">
    <oc r="D618">
      <v>886257.6</v>
    </oc>
    <nc r="D618">
      <f>886257.6</f>
    </nc>
  </rcc>
  <rcc rId="3728" sId="1" numFmtId="34">
    <oc r="D674">
      <v>100000</v>
    </oc>
    <nc r="D674">
      <v>0</v>
    </nc>
  </rcc>
  <rcc rId="3729" sId="1">
    <oc r="E666">
      <v>94977988.599999994</v>
    </oc>
    <nc r="E666">
      <f>72596636.05+22381352.55</f>
    </nc>
  </rcc>
  <rcc rId="3730" sId="1">
    <oc r="F666">
      <v>95927768.489999995</v>
    </oc>
    <nc r="F666">
      <f>73322602.41+22605166.08</f>
    </nc>
  </rcc>
  <rcc rId="3731" sId="1">
    <oc r="E667">
      <v>2218000</v>
    </oc>
    <nc r="E667">
      <f>1800000+418000</f>
    </nc>
  </rcc>
  <rcc rId="3732" sId="1">
    <oc r="F667">
      <v>2218000</v>
    </oc>
    <nc r="F667">
      <f>1800000+418000</f>
    </nc>
  </rcc>
  <rcc rId="3733" sId="1">
    <oc r="E668">
      <v>28683352.559999999</v>
    </oc>
    <nc r="E668">
      <f>21924184.09+6759168.47</f>
    </nc>
  </rcc>
  <rcc rId="3734" sId="1">
    <oc r="F668">
      <v>28970186.079999998</v>
    </oc>
    <nc r="F668">
      <f>22143425.93+6826760.15</f>
    </nc>
  </rcc>
  <rcc rId="3735" sId="1">
    <oc r="E671">
      <v>8557755.3699999992</v>
    </oc>
    <nc r="E671">
      <f>6278755.37+2129000</f>
    </nc>
  </rcc>
  <rcc rId="3736" sId="1">
    <oc r="F671">
      <v>8557755.3699999992</v>
    </oc>
    <nc r="F671">
      <f>6278755.37+2129000</f>
    </nc>
  </rcc>
  <rcc rId="3737" sId="1">
    <oc r="D675">
      <v>304500</v>
    </oc>
    <nc r="D675">
      <f>107973.65+4500</f>
    </nc>
  </rcc>
  <rcc rId="3738" sId="1">
    <oc r="E675">
      <v>605000</v>
    </oc>
    <nc r="E675">
      <f>600000+5000</f>
    </nc>
  </rcc>
  <rcc rId="3739" sId="1">
    <oc r="F675">
      <v>605000</v>
    </oc>
    <nc r="F675">
      <f>600000+5000</f>
    </nc>
  </rcc>
  <rcc rId="3740" sId="1">
    <oc r="D666">
      <v>94977988.599999994</v>
    </oc>
    <nc r="D666">
      <f>65587443.85+19854019.55+9610478.32</f>
    </nc>
  </rcc>
  <rcc rId="3741" sId="1">
    <oc r="D667">
      <v>1738440</v>
    </oc>
    <nc r="D667">
      <f>1196994.24+376200+144590.04</f>
    </nc>
  </rcc>
  <rcc rId="3742" sId="1">
    <oc r="D668">
      <v>28683352.559999999</v>
    </oc>
    <nc r="D668">
      <f>19807408.16+5995913.89+2902364.36</f>
    </nc>
  </rcc>
  <rcc rId="3743" sId="1">
    <oc r="D671">
      <v>8344855.3700000001</v>
    </oc>
    <nc r="D671">
      <f>5905135.47+1916100+411000</f>
    </nc>
  </rcc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44" sId="1">
    <oc r="D671">
      <f>5905135.47+1916100+411000</f>
    </oc>
    <nc r="D671">
      <f>5905135.47+1916100+411000+150000</f>
    </nc>
  </rcc>
  <rcc rId="3745" sId="1">
    <oc r="E671">
      <f>6278755.37+2129000</f>
    </oc>
    <nc r="E671">
      <f>6278755.37+2129000+150000</f>
    </nc>
  </rcc>
  <rcc rId="3746" sId="1">
    <oc r="F671">
      <f>6278755.37+2129000</f>
    </oc>
    <nc r="F671">
      <f>6278755.37+2129000+150000</f>
    </nc>
  </rcc>
  <rcc rId="3747" sId="1" numFmtId="34">
    <oc r="D679">
      <f>16008611.71-2100000+3285769.73-7094414.27-9233380-20000</f>
    </oc>
    <nc r="D679">
      <v>469756.4</v>
    </nc>
  </rcc>
  <rrc rId="3748" sId="1" ref="A680:XFD680" action="insertRow"/>
  <rrc rId="3749" sId="1" ref="A680:XFD680" action="insertRow"/>
  <rcc rId="3750" sId="1">
    <nc r="B680" t="inlineStr">
      <is>
        <t>55 0 00 81400</t>
      </is>
    </nc>
  </rcc>
  <rcc rId="3751" sId="1">
    <nc r="B681" t="inlineStr">
      <is>
        <t>55 0 00 81400</t>
      </is>
    </nc>
  </rcc>
  <rcc rId="3752" sId="1" numFmtId="34">
    <oc r="D683">
      <f>20000+20000</f>
    </oc>
    <nc r="D683">
      <v>280000</v>
    </nc>
  </rcc>
  <rcc rId="3753" sId="1">
    <nc r="C681" t="inlineStr">
      <is>
        <t>244</t>
      </is>
    </nc>
  </rcc>
  <rcc rId="3754" sId="1">
    <nc r="C680" t="inlineStr">
      <is>
        <t>240</t>
      </is>
    </nc>
  </rcc>
  <rrc rId="3755" sId="1" ref="A680:XFD680" action="insertRow"/>
  <rcc rId="3756" sId="1">
    <nc r="C680" t="inlineStr">
      <is>
        <t>200</t>
      </is>
    </nc>
  </rcc>
  <rcc rId="3757" sId="1" xfDxf="1" dxf="1">
    <nc r="A682" t="inlineStr">
      <is>
        <t>Прочая закупка товаров, работ и услуг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758" sId="1" xfDxf="1" dxf="1">
    <nc r="A681" t="inlineStr">
      <is>
        <t>Иные закупки товаров, работ и услуг для обеспечения государственных (муниципальных) нужд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759" sId="1" xfDxf="1" dxf="1">
    <nc r="A680" t="inlineStr">
      <is>
        <t>Закупка товаров, работ и услуг для обеспечения государственных (муниципальных) нужд</t>
      </is>
    </nc>
    <ndxf>
      <font>
        <name val="Times New Roman"/>
        <scheme val="none"/>
      </font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760" sId="1">
    <nc r="B680" t="inlineStr">
      <is>
        <t>55 0 00 81400</t>
      </is>
    </nc>
  </rcc>
  <rcc rId="3761" sId="1">
    <nc r="D680">
      <f>D681</f>
    </nc>
  </rcc>
  <rcc rId="3762" sId="1">
    <nc r="D681">
      <f>D682</f>
    </nc>
  </rcc>
  <rcc rId="3763" sId="1">
    <nc r="E681">
      <f>E682</f>
    </nc>
  </rcc>
  <rcc rId="3764" sId="1">
    <nc r="F681">
      <f>F682</f>
    </nc>
  </rcc>
  <rcc rId="3765" sId="1">
    <nc r="E680">
      <f>E681</f>
    </nc>
  </rcc>
  <rcc rId="3766" sId="1">
    <nc r="F680">
      <f>F681</f>
    </nc>
  </rcc>
  <rcc rId="3767" sId="1">
    <nc r="D682">
      <f>338824</f>
    </nc>
  </rcc>
  <rrc rId="3768" sId="1" ref="A677:XFD677" action="insertRow"/>
  <rrc rId="3769" sId="1" ref="A677:XFD677" action="insertRow"/>
  <rrc rId="3770" sId="1" ref="A677:XFD677" action="insertRow"/>
  <rcc rId="3771" sId="1" xfDxf="1" dxf="1">
    <nc r="A677" t="inlineStr">
      <is>
        <t>Закупка товаров, работ и услуг для обеспечения государственных (муниципальных) нужд</t>
      </is>
    </nc>
    <ndxf>
      <font>
        <b/>
        <i/>
        <name val="Times New Roman"/>
        <scheme val="none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772" sId="1" xfDxf="1" dxf="1">
    <nc r="A678" t="inlineStr">
      <is>
        <t>Иные закупки товаров, работ и услуг для обеспечения государственных (муниципальных) нужд</t>
      </is>
    </nc>
    <ndxf>
      <font>
        <b/>
        <i/>
        <name val="Times New Roman"/>
        <scheme val="none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773" sId="1" xfDxf="1" dxf="1">
    <nc r="A679" t="inlineStr">
      <is>
        <t>Прочая закупка товаров, работ и услуг</t>
      </is>
    </nc>
    <ndxf>
      <font>
        <b/>
        <i/>
        <name val="Times New Roman"/>
        <scheme val="none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774" sId="1">
    <nc r="B677" t="inlineStr">
      <is>
        <t>55 0 00 71400</t>
      </is>
    </nc>
  </rcc>
  <rfmt sheetId="1" sqref="A677:D679" start="0" length="2147483647">
    <dxf>
      <font>
        <b val="0"/>
      </font>
    </dxf>
  </rfmt>
  <rfmt sheetId="1" sqref="A677:D679" start="0" length="2147483647">
    <dxf>
      <font>
        <i val="0"/>
      </font>
    </dxf>
  </rfmt>
  <rcc rId="3775" sId="1">
    <nc r="B678" t="inlineStr">
      <is>
        <t>55 0 00 71400</t>
      </is>
    </nc>
  </rcc>
  <rcc rId="3776" sId="1">
    <nc r="B679" t="inlineStr">
      <is>
        <t>55 0 00 71400</t>
      </is>
    </nc>
  </rcc>
  <rcc rId="3777" sId="1" numFmtId="34">
    <nc r="C679">
      <v>244</v>
    </nc>
  </rcc>
  <rcc rId="3778" sId="1" numFmtId="34">
    <nc r="C678">
      <v>240</v>
    </nc>
  </rcc>
  <rcc rId="3779" sId="1" numFmtId="34">
    <nc r="C677">
      <v>200</v>
    </nc>
  </rcc>
  <rfmt sheetId="1" sqref="C677:C679">
    <dxf>
      <numFmt numFmtId="30" formatCode="@"/>
    </dxf>
  </rfmt>
  <rrc rId="3780" sId="1" ref="A677:XFD677" action="insertRow"/>
  <rfmt sheetId="1" xfDxf="1" sqref="A677" start="0" length="0">
    <dxf>
      <font>
        <b/>
        <i/>
        <name val="Times New Roman"/>
        <scheme val="none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</rfmt>
  <rfmt sheetId="1" sqref="A677" start="0" length="2147483647">
    <dxf>
      <font>
        <b val="0"/>
      </font>
    </dxf>
  </rfmt>
  <rfmt sheetId="1" sqref="A677" start="0" length="2147483647">
    <dxf>
      <font>
        <i val="0"/>
      </font>
    </dxf>
  </rfmt>
  <rcc rId="3781" sId="1">
    <nc r="A677" t="inlineStr">
      <is>
        <t>Резервный фонд Правительства Архангельской области</t>
      </is>
    </nc>
  </rcc>
  <rcc rId="3782" sId="1">
    <nc r="B677" t="inlineStr">
      <is>
        <t>55 0 00 71400</t>
      </is>
    </nc>
  </rcc>
  <rfmt sheetId="1" sqref="B677" start="0" length="2147483647">
    <dxf>
      <font>
        <b val="0"/>
      </font>
    </dxf>
  </rfmt>
  <rfmt sheetId="1" sqref="B677" start="0" length="2147483647">
    <dxf>
      <font>
        <i val="0"/>
      </font>
    </dxf>
  </rfmt>
  <rcc rId="3783" sId="1">
    <nc r="D679">
      <f>D680</f>
    </nc>
  </rcc>
  <rcc rId="3784" sId="1" odxf="1" dxf="1">
    <nc r="E679">
      <f>E680</f>
    </nc>
    <odxf>
      <font>
        <b/>
        <i/>
        <name val="Times New Roman"/>
        <scheme val="none"/>
      </font>
    </odxf>
    <ndxf>
      <font>
        <b val="0"/>
        <i val="0"/>
        <name val="Times New Roman"/>
        <scheme val="none"/>
      </font>
    </ndxf>
  </rcc>
  <rcc rId="3785" sId="1" odxf="1" dxf="1">
    <nc r="F679">
      <f>F680</f>
    </nc>
    <odxf>
      <font>
        <b/>
        <i/>
        <name val="Times New Roman"/>
        <scheme val="none"/>
      </font>
    </odxf>
    <ndxf>
      <font>
        <b val="0"/>
        <i val="0"/>
        <name val="Times New Roman"/>
        <scheme val="none"/>
      </font>
    </ndxf>
  </rcc>
  <rcc rId="3786" sId="1">
    <nc r="D678">
      <f>D679</f>
    </nc>
  </rcc>
  <rcc rId="3787" sId="1" odxf="1" dxf="1">
    <nc r="E678">
      <f>E679</f>
    </nc>
    <odxf>
      <font>
        <b/>
        <i/>
        <name val="Times New Roman"/>
        <scheme val="none"/>
      </font>
    </odxf>
    <ndxf>
      <font>
        <b val="0"/>
        <i val="0"/>
        <name val="Times New Roman"/>
        <scheme val="none"/>
      </font>
    </ndxf>
  </rcc>
  <rcc rId="3788" sId="1" odxf="1" dxf="1">
    <nc r="F678">
      <f>F679</f>
    </nc>
    <odxf>
      <font>
        <b/>
        <i/>
        <name val="Times New Roman"/>
        <scheme val="none"/>
      </font>
    </odxf>
    <ndxf>
      <font>
        <b val="0"/>
        <i val="0"/>
        <name val="Times New Roman"/>
        <scheme val="none"/>
      </font>
    </ndxf>
  </rcc>
  <rcc rId="3789" sId="1">
    <nc r="D677">
      <f>D678</f>
    </nc>
  </rcc>
  <rcc rId="3790" sId="1">
    <nc r="E677">
      <f>E678</f>
    </nc>
  </rcc>
  <rcc rId="3791" sId="1">
    <nc r="F677">
      <f>F678</f>
    </nc>
  </rcc>
  <rcc rId="3792" sId="1">
    <oc r="D676">
      <f>SUM(D681)</f>
    </oc>
    <nc r="D676">
      <f>SUM(D681+D677)</f>
    </nc>
  </rcc>
  <rcc rId="3793" sId="1">
    <oc r="D681">
      <f>D682+D687</f>
    </oc>
    <nc r="D681">
      <f>D682+D687+D684</f>
    </nc>
  </rcc>
  <rcc rId="3794" sId="1">
    <oc r="E681">
      <f>E682+E687</f>
    </oc>
    <nc r="E681">
      <f>E682+E687+E684</f>
    </nc>
  </rcc>
  <rcc rId="3795" sId="1">
    <oc r="F681">
      <f>F682+F687</f>
    </oc>
    <nc r="F681">
      <f>F682+F687+F684</f>
    </nc>
  </rcc>
  <rcc rId="3796" sId="1" numFmtId="34">
    <nc r="D680">
      <v>165237.28</v>
    </nc>
  </rcc>
  <rfmt sheetId="1" sqref="A677:E677" start="0" length="2147483647">
    <dxf>
      <font>
        <b val="0"/>
      </font>
    </dxf>
  </rfmt>
  <rfmt sheetId="1" sqref="A677:E677" start="0" length="2147483647">
    <dxf>
      <font>
        <i val="0"/>
      </font>
    </dxf>
  </rfmt>
  <rcv guid="{D9B90A86-BE39-4FED-8226-084809D277F3}" action="delete"/>
  <rdn rId="0" localSheetId="1" customView="1" name="Z_D9B90A86_BE39_4FED_8226_084809D277F3_.wvu.PrintArea" hidden="1" oldHidden="1">
    <formula>'программы '!$A$1:$F$860</formula>
    <oldFormula>'программы '!$A$1:$F$860</oldFormula>
  </rdn>
  <rdn rId="0" localSheetId="1" customView="1" name="Z_D9B90A86_BE39_4FED_8226_084809D277F3_.wvu.Rows" hidden="1" oldHidden="1">
    <formula>'программы '!$278:$282</formula>
    <oldFormula>'программы '!$278:$282</oldFormula>
  </rdn>
  <rdn rId="0" localSheetId="1" customView="1" name="Z_D9B90A86_BE39_4FED_8226_084809D277F3_.wvu.FilterData" hidden="1" oldHidden="1">
    <formula>'программы '!$A$1:$A$873</formula>
    <oldFormula>'программы '!$A$1:$A$873</oldFormula>
  </rdn>
  <rcv guid="{D9B90A86-BE39-4FED-8226-084809D277F3}" action="add"/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00" sId="1">
    <oc r="B677" t="inlineStr">
      <is>
        <t>55 0 00 71400</t>
      </is>
    </oc>
    <nc r="B677" t="inlineStr">
      <is>
        <t>55 0 00 00000</t>
      </is>
    </nc>
  </rcc>
  <rrc rId="3801" sId="1" ref="A678:XFD678" action="insertRow"/>
  <rcc rId="3802" sId="1">
    <nc r="B678" t="inlineStr">
      <is>
        <t>55 0 00 71400</t>
      </is>
    </nc>
  </rcc>
  <rcc rId="3803" sId="1" xfDxf="1" dxf="1">
    <nc r="A678" t="inlineStr">
      <is>
        <t>Резервный фонд Правительства Архангельской области</t>
      </is>
    </nc>
    <ndxf>
      <font>
        <name val="Times New Roman"/>
        <scheme val="none"/>
      </font>
      <alignment horizontal="left"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804" sId="1">
    <oc r="A677" t="inlineStr">
      <is>
        <t>Резервный фонд Правительства Архангельской области</t>
      </is>
    </oc>
    <nc r="A677" t="inlineStr">
      <is>
        <t xml:space="preserve">Резервный фонд </t>
      </is>
    </nc>
  </rcc>
  <rcc rId="3805" sId="1">
    <oc r="D677">
      <f>D679</f>
    </oc>
    <nc r="D677">
      <f>D678</f>
    </nc>
  </rcc>
  <rcc rId="3806" sId="1">
    <oc r="E677">
      <f>E679</f>
    </oc>
    <nc r="E677">
      <f>E678</f>
    </nc>
  </rcc>
  <rcc rId="3807" sId="1" odxf="1" dxf="1">
    <oc r="F677">
      <f>F679</f>
    </oc>
    <nc r="F677">
      <f>F678</f>
    </nc>
    <odxf>
      <font>
        <b/>
        <i/>
        <name val="Times New Roman"/>
        <scheme val="none"/>
      </font>
    </odxf>
    <ndxf>
      <font>
        <b val="0"/>
        <i val="0"/>
        <name val="Times New Roman"/>
        <scheme val="none"/>
      </font>
    </ndxf>
  </rcc>
  <rcc rId="3808" sId="1">
    <nc r="D678">
      <f>D679</f>
    </nc>
  </rcc>
  <rcc rId="3809" sId="1">
    <nc r="E678">
      <f>E679</f>
    </nc>
  </rcc>
  <rcc rId="3810" sId="1" odxf="1" dxf="1">
    <nc r="F678">
      <f>F679</f>
    </nc>
    <odxf>
      <font>
        <b/>
        <i/>
        <name val="Times New Roman"/>
        <scheme val="none"/>
      </font>
    </odxf>
    <ndxf>
      <font>
        <b val="0"/>
        <i val="0"/>
        <name val="Times New Roman"/>
        <scheme val="none"/>
      </font>
    </ndxf>
  </rcc>
  <rcc rId="3811" sId="1" numFmtId="34">
    <oc r="D694">
      <v>1982310.71</v>
    </oc>
    <nc r="D694">
      <v>2079004.63</v>
    </nc>
  </rcc>
  <rcc rId="3812" sId="1" numFmtId="34">
    <oc r="E694">
      <v>2061636.25</v>
    </oc>
    <nc r="E694">
      <v>2310476.25</v>
    </nc>
  </rcc>
  <rcc rId="3813" sId="1" numFmtId="34">
    <oc r="F694">
      <v>2144155.2599999998</v>
    </oc>
    <nc r="F694">
      <v>2538296.96</v>
    </nc>
  </rcc>
  <rcc rId="3814" sId="1" numFmtId="34">
    <oc r="D696">
      <v>598657.84</v>
    </oc>
    <nc r="D696">
      <v>627895.22</v>
    </nc>
  </rcc>
  <rcc rId="3815" sId="1" numFmtId="34">
    <oc r="E696">
      <v>622614.15</v>
    </oc>
    <nc r="E696">
      <v>697155.35</v>
    </nc>
  </rcc>
  <rcc rId="3816" sId="1" numFmtId="34">
    <oc r="F696">
      <v>647534.89</v>
    </oc>
    <nc r="F696">
      <v>758616.24</v>
    </nc>
  </rcc>
  <rcv guid="{D9B90A86-BE39-4FED-8226-084809D277F3}" action="delete"/>
  <rdn rId="0" localSheetId="1" customView="1" name="Z_D9B90A86_BE39_4FED_8226_084809D277F3_.wvu.PrintArea" hidden="1" oldHidden="1">
    <formula>'программы '!$A$1:$F$861</formula>
    <oldFormula>'программы '!$A$1:$F$861</oldFormula>
  </rdn>
  <rdn rId="0" localSheetId="1" customView="1" name="Z_D9B90A86_BE39_4FED_8226_084809D277F3_.wvu.Rows" hidden="1" oldHidden="1">
    <formula>'программы '!$278:$282</formula>
    <oldFormula>'программы '!$278:$282</oldFormula>
  </rdn>
  <rdn rId="0" localSheetId="1" customView="1" name="Z_D9B90A86_BE39_4FED_8226_084809D277F3_.wvu.FilterData" hidden="1" oldHidden="1">
    <formula>'программы '!$A$1:$A$874</formula>
    <oldFormula>'программы '!$A$1:$A$874</oldFormula>
  </rdn>
  <rcv guid="{D9B90A86-BE39-4FED-8226-084809D277F3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20" sId="1" numFmtId="34">
    <oc r="D711">
      <v>124100</v>
    </oc>
    <nc r="D711">
      <v>188933.33</v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21" sId="1" numFmtId="34">
    <oc r="D725">
      <f>8000000+4000000</f>
    </oc>
    <nc r="D725">
      <v>8000000</v>
    </nc>
  </rcc>
  <rcc rId="3822" sId="1">
    <oc r="D742">
      <v>2071897</v>
    </oc>
    <nc r="D742">
      <f>1341897+730000</f>
    </nc>
  </rcc>
  <rcc rId="3823" sId="1" numFmtId="34">
    <oc r="E742">
      <v>2071897</v>
    </oc>
    <nc r="E742">
      <f>1341897+730000</f>
    </nc>
  </rcc>
  <rcc rId="3824" sId="1" numFmtId="34">
    <oc r="F742">
      <v>2071897</v>
    </oc>
    <nc r="F742">
      <f>1341897+730000</f>
    </nc>
  </rcc>
</revisions>
</file>

<file path=xl/revisions/revisionLog7.xml><?xml version="1.0" encoding="utf-8"?>
<revisions xmlns="http://schemas.openxmlformats.org/spreadsheetml/2006/main" xmlns:r="http://schemas.openxmlformats.org/officeDocument/2006/relationships">
  <rcc rId="2568" sId="1">
    <oc r="F4" t="inlineStr">
      <is>
        <t xml:space="preserve">от 19 декабря 2023 года №183 </t>
      </is>
    </oc>
    <nc r="F4" t="inlineStr">
      <is>
        <t xml:space="preserve">от                   2024 года № </t>
      </is>
    </nc>
  </rcc>
  <rcv guid="{9A752CC5-36AC-48BE-BF4B-1A38C4015906}" action="delete"/>
  <rdn rId="0" localSheetId="1" customView="1" name="Z_9A752CC5_36AC_48BE_BF4B_1A38C4015906_.wvu.FilterData" hidden="1" oldHidden="1">
    <formula>'программы '!$B$1:$B$737</formula>
    <oldFormula>'программы '!$B$1:$B$737</oldFormula>
  </rdn>
  <rcv guid="{9A752CC5-36AC-48BE-BF4B-1A38C4015906}" action="add"/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25" sId="1" numFmtId="34">
    <oc r="D761">
      <v>3238185.37</v>
    </oc>
    <nc r="D761">
      <v>566700</v>
    </nc>
  </rcc>
  <rcc rId="3826" sId="1" numFmtId="34">
    <nc r="D773">
      <v>47200000</v>
    </nc>
  </rcc>
  <rcc rId="3827" sId="1" numFmtId="34">
    <nc r="D769">
      <v>993300</v>
    </nc>
  </rcc>
  <rcc rId="3828" sId="1" numFmtId="34">
    <nc r="D765">
      <v>1678185.37</v>
    </nc>
  </rcc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29" sId="1" numFmtId="34">
    <nc r="D778">
      <v>292246.25</v>
    </nc>
  </rcc>
  <rcv guid="{D9B90A86-BE39-4FED-8226-084809D277F3}" action="delete"/>
  <rdn rId="0" localSheetId="1" customView="1" name="Z_D9B90A86_BE39_4FED_8226_084809D277F3_.wvu.PrintArea" hidden="1" oldHidden="1">
    <formula>'программы '!$A$1:$F$861</formula>
    <oldFormula>'программы '!$A$1:$F$861</oldFormula>
  </rdn>
  <rdn rId="0" localSheetId="1" customView="1" name="Z_D9B90A86_BE39_4FED_8226_084809D277F3_.wvu.Rows" hidden="1" oldHidden="1">
    <formula>'программы '!$278:$282</formula>
    <oldFormula>'программы '!$278:$282</oldFormula>
  </rdn>
  <rdn rId="0" localSheetId="1" customView="1" name="Z_D9B90A86_BE39_4FED_8226_084809D277F3_.wvu.FilterData" hidden="1" oldHidden="1">
    <formula>'программы '!$A$1:$A$874</formula>
    <oldFormula>'программы '!$A$1:$A$874</oldFormula>
  </rdn>
  <rcv guid="{D9B90A86-BE39-4FED-8226-084809D277F3}" action="add"/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33" sId="1" numFmtId="34">
    <nc r="D788">
      <v>3209339.93</v>
    </nc>
  </rcc>
  <rcc rId="3834" sId="1" numFmtId="34">
    <nc r="E788">
      <v>3383534.85</v>
    </nc>
  </rcc>
  <rcc rId="3835" sId="1" numFmtId="34">
    <nc r="F788">
      <v>3411798.35</v>
    </nc>
  </rcc>
  <rcc rId="3836" sId="1" numFmtId="34">
    <oc r="D784">
      <v>3197753.69</v>
    </oc>
    <nc r="D784"/>
  </rcc>
  <rcc rId="3837" sId="1" numFmtId="34">
    <oc r="E784">
      <v>3375108.53</v>
    </oc>
    <nc r="E784"/>
  </rcc>
  <rcc rId="3838" sId="1" numFmtId="34">
    <oc r="F784">
      <v>3492844.87</v>
    </oc>
    <nc r="F784"/>
  </rcc>
  <rcc rId="3839" sId="1" numFmtId="34">
    <nc r="D842">
      <v>100000</v>
    </nc>
  </rcc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40" sId="1" numFmtId="34">
    <oc r="D839">
      <v>581912</v>
    </oc>
    <nc r="D839">
      <v>481912</v>
    </nc>
  </rcc>
  <rcc rId="3841" sId="1">
    <oc r="E830">
      <f>E832+E834+E837+E840</f>
    </oc>
    <nc r="E830">
      <f>E832+E834+E837+E840</f>
    </nc>
  </rcc>
  <rcc rId="3842" sId="1">
    <oc r="F830">
      <f>F832+F834+F837+F840</f>
    </oc>
    <nc r="F830">
      <f>F832+F834+F837+F840</f>
    </nc>
  </rcc>
  <rfmt sheetId="1" sqref="A851:F851" start="0" length="2147483647">
    <dxf>
      <font>
        <b/>
      </font>
    </dxf>
  </rfmt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43" sId="1" numFmtId="34">
    <oc r="D98">
      <v>209923088.25</v>
    </oc>
    <nc r="D98">
      <v>209537488.25</v>
    </nc>
  </rcc>
  <rcc rId="3844" sId="1" numFmtId="34">
    <nc r="E222">
      <v>14419102.119999999</v>
    </nc>
  </rcc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45" sId="1" numFmtId="34">
    <oc r="E222">
      <v>14419102.119999999</v>
    </oc>
    <nc r="E222">
      <v>12419102.119999999</v>
    </nc>
  </rcc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46" sId="1">
    <oc r="D778">
      <v>292246.25</v>
    </oc>
    <nc r="D778">
      <f>292246.25</f>
    </nc>
  </rcc>
  <rcc rId="3847" sId="1">
    <oc r="D240">
      <v>7345628.25</v>
    </oc>
    <nc r="D240">
      <f>7345628.25</f>
    </nc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F1048576">
    <dxf>
      <fill>
        <patternFill>
          <bgColor theme="0"/>
        </patternFill>
      </fill>
    </dxf>
  </rfmt>
  <rcc rId="3848" sId="1">
    <oc r="A389" t="inlineStr">
      <is>
        <t>Комплектование книжных фондов библиотек муниципальных образований и подписка на периодическую печать</t>
      </is>
    </oc>
    <nc r="A389" t="inlineStr">
      <is>
        <t>Комплектование книжных фондов библиотек муниципальных образований Архангельской области и подписка на периодическую печать</t>
      </is>
    </nc>
  </rcc>
  <rfmt sheetId="1" sqref="A389">
    <dxf>
      <fill>
        <patternFill>
          <bgColor theme="6" tint="0.39997558519241921"/>
        </patternFill>
      </fill>
    </dxf>
  </rfmt>
  <rcv guid="{D9B90A86-BE39-4FED-8226-084809D277F3}" action="delete"/>
  <rdn rId="0" localSheetId="1" customView="1" name="Z_D9B90A86_BE39_4FED_8226_084809D277F3_.wvu.PrintArea" hidden="1" oldHidden="1">
    <formula>'программы '!$A$1:$F$861</formula>
    <oldFormula>'программы '!$A$1:$F$861</oldFormula>
  </rdn>
  <rdn rId="0" localSheetId="1" customView="1" name="Z_D9B90A86_BE39_4FED_8226_084809D277F3_.wvu.Rows" hidden="1" oldHidden="1">
    <formula>'программы '!$278:$282</formula>
    <oldFormula>'программы '!$278:$282</oldFormula>
  </rdn>
  <rdn rId="0" localSheetId="1" customView="1" name="Z_D9B90A86_BE39_4FED_8226_084809D277F3_.wvu.FilterData" hidden="1" oldHidden="1">
    <formula>'программы '!$A$1:$A$874</formula>
    <oldFormula>'программы '!$A$1:$A$874</oldFormula>
  </rdn>
  <rcv guid="{D9B90A86-BE39-4FED-8226-084809D277F3}" action="add"/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52" sId="1">
    <oc r="A385" t="inlineStr">
      <is>
    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    </is>
    </oc>
    <nc r="A385" t="inlineStr">
      <is>
    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 на территории Архангельской области</t>
      </is>
    </nc>
  </rcc>
  <rfmt sheetId="1" sqref="A385">
    <dxf>
      <fill>
        <patternFill>
          <bgColor theme="6" tint="0.39997558519241921"/>
        </patternFill>
      </fill>
    </dxf>
  </rfmt>
  <rcv guid="{D9B90A86-BE39-4FED-8226-084809D277F3}" action="delete"/>
  <rdn rId="0" localSheetId="1" customView="1" name="Z_D9B90A86_BE39_4FED_8226_084809D277F3_.wvu.PrintArea" hidden="1" oldHidden="1">
    <formula>'программы '!$A$1:$F$861</formula>
    <oldFormula>'программы '!$A$1:$F$861</oldFormula>
  </rdn>
  <rdn rId="0" localSheetId="1" customView="1" name="Z_D9B90A86_BE39_4FED_8226_084809D277F3_.wvu.Rows" hidden="1" oldHidden="1">
    <formula>'программы '!$278:$282</formula>
    <oldFormula>'программы '!$278:$282</oldFormula>
  </rdn>
  <rdn rId="0" localSheetId="1" customView="1" name="Z_D9B90A86_BE39_4FED_8226_084809D277F3_.wvu.FilterData" hidden="1" oldHidden="1">
    <formula>'программы '!$A$1:$A$874</formula>
    <oldFormula>'программы '!$A$1:$A$874</oldFormula>
  </rdn>
  <rcv guid="{D9B90A86-BE39-4FED-8226-084809D277F3}" action="add"/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56" sId="1">
    <oc r="A385" t="inlineStr">
      <is>
    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 на территории Архангельской области</t>
      </is>
    </oc>
    <nc r="A385" t="inlineStr">
      <is>
    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 на территории Архангельской области на территории Архангельской области</t>
      </is>
    </nc>
  </rcc>
  <rcc rId="3857" sId="1">
    <oc r="A399" t="inlineStr">
      <is>
    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    </is>
    </oc>
    <nc r="A399" t="inlineStr">
      <is>
    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 на территории Архангельской области</t>
      </is>
    </nc>
  </rcc>
  <rcc rId="3858" sId="1" xfDxf="1" dxf="1">
    <oc r="A718" t="inlineStr">
      <is>
        <t>Бюджетные инвестиции в объекты капитального строительства государственной (муниципальной) собственности</t>
      </is>
    </oc>
    <nc r="A718" t="inlineStr">
      <is>
        <t>Бюджетные инвестиции в объекты капитального строительства собственности муниципальных образований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1" sqref="A718">
    <dxf>
      <fill>
        <patternFill>
          <bgColor theme="6" tint="0.39997558519241921"/>
        </patternFill>
      </fill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74" sId="1" numFmtId="34">
    <oc r="D503">
      <v>14735000</v>
    </oc>
    <nc r="D503">
      <f>14735000+7094414.27</f>
    </nc>
  </rcc>
  <rcc rId="2775" sId="1" numFmtId="34">
    <oc r="D606">
      <v>20000</v>
    </oc>
    <nc r="D606">
      <f>20000+20000</f>
    </nc>
  </rcc>
  <rcc rId="2776" sId="1">
    <oc r="D604">
      <f>16008611.71-2100000+3285769.73</f>
    </oc>
    <nc r="D604">
      <f>16008611.71-2100000+3285769.73-7094414.27-9233380-20000</f>
    </nc>
  </rcc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59" sId="1">
    <oc r="A755" t="inlineStr">
      <is>
        <t>Прочие расходы о области коммунального хозяйства</t>
      </is>
    </oc>
    <nc r="A755" t="inlineStr">
      <is>
        <t>Прочие расходы в области коммунального хозяйства</t>
      </is>
    </nc>
  </rcc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860" sId="1" ref="A41:XFD41" action="insertRow">
    <undo index="0" exp="area" ref3D="1" dr="$A$278:$XFD$282" dn="Z_D9B90A86_BE39_4FED_8226_084809D277F3_.wvu.Rows" sId="1"/>
    <undo index="0" exp="area" ref3D="1" dr="$A$278:$XFD$282" dn="Z_30E81E54_DD45_4653_9DCD_548F6723F554_.wvu.Rows" sId="1"/>
  </rrc>
  <rrc rId="3861" sId="1" ref="A41:XFD41" action="insertRow">
    <undo index="0" exp="area" ref3D="1" dr="$A$279:$XFD$283" dn="Z_D9B90A86_BE39_4FED_8226_084809D277F3_.wvu.Rows" sId="1"/>
    <undo index="0" exp="area" ref3D="1" dr="$A$279:$XFD$283" dn="Z_30E81E54_DD45_4653_9DCD_548F6723F554_.wvu.Rows" sId="1"/>
  </rrc>
  <rrc rId="3862" sId="1" ref="A41:XFD41" action="insertRow">
    <undo index="0" exp="area" ref3D="1" dr="$A$280:$XFD$284" dn="Z_D9B90A86_BE39_4FED_8226_084809D277F3_.wvu.Rows" sId="1"/>
    <undo index="0" exp="area" ref3D="1" dr="$A$280:$XFD$284" dn="Z_30E81E54_DD45_4653_9DCD_548F6723F554_.wvu.Rows" sId="1"/>
  </rrc>
  <rrc rId="3863" sId="1" ref="A41:XFD41" action="insertRow">
    <undo index="0" exp="area" ref3D="1" dr="$A$281:$XFD$285" dn="Z_D9B90A86_BE39_4FED_8226_084809D277F3_.wvu.Rows" sId="1"/>
    <undo index="0" exp="area" ref3D="1" dr="$A$281:$XFD$285" dn="Z_30E81E54_DD45_4653_9DCD_548F6723F554_.wvu.Rows" sId="1"/>
  </rrc>
  <rcc rId="3864" sId="1" xfDxf="1" dxf="1">
    <nc r="A41" t="inlineStr">
      <is>
        <t>Укрепление материально-технической базы и развитие противопожарной инфраструктуры в муниципальных образовательных организациях муниципальных образований Архангельской области</t>
      </is>
    </nc>
    <ndxf>
      <font>
        <b/>
        <name val="Times New Roman"/>
        <scheme val="none"/>
      </font>
      <numFmt numFmtId="30" formatCode="@"/>
      <fill>
        <patternFill patternType="solid">
          <bgColor theme="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" sqref="A41" start="0" length="2147483647">
    <dxf>
      <font>
        <b val="0"/>
      </font>
    </dxf>
  </rfmt>
  <rcc rId="3865" sId="1" xfDxf="1" dxf="1">
    <nc r="A42" t="inlineStr">
      <is>
        <t>Предоставление субсидий бюджетным, автономным учреждениям и иным некоммерческим организациям</t>
      </is>
    </nc>
    <ndxf>
      <font>
        <b/>
        <name val="Times New Roman"/>
        <scheme val="none"/>
      </font>
      <numFmt numFmtId="30" formatCode="@"/>
      <fill>
        <patternFill patternType="solid">
          <bgColor theme="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" sqref="A42:XFD44" start="0" length="2147483647">
    <dxf>
      <font>
        <b val="0"/>
      </font>
    </dxf>
  </rfmt>
  <rcc rId="3866" sId="1" xfDxf="1" dxf="1">
    <nc r="A43" t="inlineStr">
      <is>
        <t>Субсидии бюджетным учреждениям</t>
      </is>
    </nc>
    <ndxf>
      <font>
        <name val="Times New Roman"/>
        <scheme val="none"/>
      </font>
      <numFmt numFmtId="30" formatCode="@"/>
      <fill>
        <patternFill patternType="solid">
          <bgColor theme="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867" sId="1" xfDxf="1" dxf="1">
    <nc r="A44" t="inlineStr">
      <is>
        <t>Субсидии бюджетным учреждениям на  иные цели</t>
      </is>
    </nc>
    <ndxf>
      <font>
        <name val="Times New Roman"/>
        <scheme val="none"/>
      </font>
      <numFmt numFmtId="30" formatCode="@"/>
      <fill>
        <patternFill patternType="solid">
          <bgColor theme="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868" sId="1" numFmtId="34">
    <nc r="C44">
      <v>612</v>
    </nc>
  </rcc>
  <rcc rId="3869" sId="1" numFmtId="34">
    <nc r="C43">
      <v>610</v>
    </nc>
  </rcc>
  <rcc rId="3870" sId="1" numFmtId="34">
    <nc r="C42">
      <v>600</v>
    </nc>
  </rcc>
  <rfmt sheetId="1" sqref="A41:XFD44">
    <dxf>
      <fill>
        <patternFill>
          <bgColor rgb="FFFFFF00"/>
        </patternFill>
      </fill>
    </dxf>
  </rfmt>
  <rcc rId="3871" sId="1">
    <nc r="B44" t="inlineStr">
      <is>
        <t>03 1 00 S6960</t>
      </is>
    </nc>
  </rcc>
  <rcc rId="3872" sId="1">
    <nc r="B43" t="inlineStr">
      <is>
        <t>03 1 00 S6960</t>
      </is>
    </nc>
  </rcc>
  <rcc rId="3873" sId="1">
    <nc r="B42" t="inlineStr">
      <is>
        <t>03 1 00 S6960</t>
      </is>
    </nc>
  </rcc>
  <rcc rId="3874" sId="1">
    <nc r="B41" t="inlineStr">
      <is>
        <t>03 1 00 S6960</t>
      </is>
    </nc>
  </rcc>
  <rfmt sheetId="1" sqref="B41" start="0" length="2147483647">
    <dxf>
      <font>
        <i/>
      </font>
    </dxf>
  </rfmt>
  <rfmt sheetId="1" sqref="B41" start="0" length="2147483647">
    <dxf>
      <font>
        <b val="0"/>
      </font>
    </dxf>
  </rfmt>
  <rfmt sheetId="1" sqref="B41" start="0" length="2147483647">
    <dxf>
      <font>
        <i val="0"/>
      </font>
    </dxf>
  </rfmt>
  <rfmt sheetId="1" sqref="A41:XFD41" start="0" length="2147483647">
    <dxf>
      <font>
        <b/>
      </font>
    </dxf>
  </rfmt>
  <rfmt sheetId="1" sqref="A41:XFD41" start="0" length="2147483647">
    <dxf>
      <font>
        <b val="0"/>
      </font>
    </dxf>
  </rfmt>
  <rcc rId="3875" sId="1">
    <nc r="D43">
      <f>D44</f>
    </nc>
  </rcc>
  <rcc rId="3876" sId="1">
    <nc r="E43">
      <f>E44</f>
    </nc>
  </rcc>
  <rcc rId="3877" sId="1">
    <nc r="F43">
      <f>F44</f>
    </nc>
  </rcc>
  <rcc rId="3878" sId="1">
    <nc r="D42">
      <f>D43</f>
    </nc>
  </rcc>
  <rcc rId="3879" sId="1">
    <nc r="E42">
      <f>E43</f>
    </nc>
  </rcc>
  <rcc rId="3880" sId="1">
    <nc r="F42">
      <f>F43</f>
    </nc>
  </rcc>
  <rcc rId="3881" sId="1">
    <nc r="D41">
      <f>D42</f>
    </nc>
  </rcc>
  <rcc rId="3882" sId="1">
    <nc r="E41">
      <f>E42</f>
    </nc>
  </rcc>
  <rcc rId="3883" sId="1">
    <nc r="F41">
      <f>F42</f>
    </nc>
  </rcc>
  <rcc rId="3884" sId="1">
    <oc r="D40">
      <f>D45+D49+D65+D70+D53+D61+D57</f>
    </oc>
    <nc r="D40">
      <f>D45+D49+D65+D70+D53+D61+D57+D41</f>
    </nc>
  </rcc>
  <rcc rId="3885" sId="1">
    <oc r="E40">
      <f>E45+E49+E65+E70+E53+E61+E57</f>
    </oc>
    <nc r="E40">
      <f>E45+E49+E65+E70+E53+E61+E57+E41</f>
    </nc>
  </rcc>
  <rcc rId="3886" sId="1">
    <oc r="F40">
      <f>F45+F49+F65+F70+F53+F61+F57</f>
    </oc>
    <nc r="F40">
      <f>F45+F49+F65+F70+F53+F61+F57+F41</f>
    </nc>
  </rcc>
  <rcv guid="{D9B90A86-BE39-4FED-8226-084809D277F3}" action="delete"/>
  <rdn rId="0" localSheetId="1" customView="1" name="Z_D9B90A86_BE39_4FED_8226_084809D277F3_.wvu.PrintArea" hidden="1" oldHidden="1">
    <formula>'программы '!$A$1:$F$865</formula>
    <oldFormula>'программы '!$A$1:$F$865</oldFormula>
  </rdn>
  <rdn rId="0" localSheetId="1" customView="1" name="Z_D9B90A86_BE39_4FED_8226_084809D277F3_.wvu.Rows" hidden="1" oldHidden="1">
    <formula>'программы '!$282:$286</formula>
    <oldFormula>'программы '!$282:$286</oldFormula>
  </rdn>
  <rdn rId="0" localSheetId="1" customView="1" name="Z_D9B90A86_BE39_4FED_8226_084809D277F3_.wvu.FilterData" hidden="1" oldHidden="1">
    <formula>'программы '!$A$1:$A$878</formula>
    <oldFormula>'программы '!$A$1:$A$878</oldFormula>
  </rdn>
  <rcv guid="{D9B90A86-BE39-4FED-8226-084809D277F3}" action="add"/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890" sId="1" ref="A99:XFD99" action="insertRow">
    <undo index="0" exp="area" ref3D="1" dr="$A$282:$XFD$286" dn="Z_D9B90A86_BE39_4FED_8226_084809D277F3_.wvu.Rows" sId="1"/>
    <undo index="0" exp="area" ref3D="1" dr="$A$282:$XFD$286" dn="Z_30E81E54_DD45_4653_9DCD_548F6723F554_.wvu.Rows" sId="1"/>
  </rrc>
  <rrc rId="3891" sId="1" ref="A99:XFD99" action="insertRow">
    <undo index="0" exp="area" ref3D="1" dr="$A$283:$XFD$287" dn="Z_D9B90A86_BE39_4FED_8226_084809D277F3_.wvu.Rows" sId="1"/>
    <undo index="0" exp="area" ref3D="1" dr="$A$283:$XFD$287" dn="Z_30E81E54_DD45_4653_9DCD_548F6723F554_.wvu.Rows" sId="1"/>
  </rrc>
  <rrc rId="3892" sId="1" ref="A99:XFD99" action="insertRow">
    <undo index="0" exp="area" ref3D="1" dr="$A$284:$XFD$288" dn="Z_D9B90A86_BE39_4FED_8226_084809D277F3_.wvu.Rows" sId="1"/>
    <undo index="0" exp="area" ref3D="1" dr="$A$284:$XFD$288" dn="Z_30E81E54_DD45_4653_9DCD_548F6723F554_.wvu.Rows" sId="1"/>
  </rrc>
  <rrc rId="3893" sId="1" ref="A99:XFD99" action="insertRow">
    <undo index="0" exp="area" ref3D="1" dr="$A$285:$XFD$289" dn="Z_D9B90A86_BE39_4FED_8226_084809D277F3_.wvu.Rows" sId="1"/>
    <undo index="0" exp="area" ref3D="1" dr="$A$285:$XFD$289" dn="Z_30E81E54_DD45_4653_9DCD_548F6723F554_.wvu.Rows" sId="1"/>
  </rrc>
  <rcc rId="3894" sId="1">
    <nc r="B99" t="inlineStr">
      <is>
        <t>03 2 00 Э6852</t>
      </is>
    </nc>
  </rcc>
  <rcc rId="3895" sId="1">
    <nc r="B100" t="inlineStr">
      <is>
        <t>03 2 00 Э6852</t>
      </is>
    </nc>
  </rcc>
  <rcc rId="3896" sId="1">
    <nc r="B101" t="inlineStr">
      <is>
        <t>03 2 00 Э6852</t>
      </is>
    </nc>
  </rcc>
  <rcc rId="3897" sId="1">
    <nc r="B102" t="inlineStr">
      <is>
        <t>03 2 00 Э6852</t>
      </is>
    </nc>
  </rcc>
  <rcc rId="3898" sId="1" numFmtId="34">
    <nc r="C102">
      <v>612</v>
    </nc>
  </rcc>
  <rcc rId="3899" sId="1" numFmtId="34">
    <nc r="C101">
      <v>610</v>
    </nc>
  </rcc>
  <rcc rId="3900" sId="1" numFmtId="34">
    <nc r="C100">
      <v>600</v>
    </nc>
  </rcc>
  <rfmt sheetId="1" sqref="A99:XFD102">
    <dxf>
      <fill>
        <patternFill>
          <bgColor rgb="FFFFFF00"/>
        </patternFill>
      </fill>
    </dxf>
  </rfmt>
  <rcc rId="3901" sId="1">
    <nc r="D101">
      <f>D102</f>
    </nc>
  </rcc>
  <rcc rId="3902" sId="1">
    <nc r="E101">
      <f>E102</f>
    </nc>
  </rcc>
  <rcc rId="3903" sId="1">
    <nc r="F101">
      <f>F102</f>
    </nc>
  </rcc>
  <rcc rId="3904" sId="1">
    <nc r="D99">
      <f>D100</f>
    </nc>
  </rcc>
  <rcc rId="3905" sId="1">
    <nc r="E99">
      <f>E100</f>
    </nc>
  </rcc>
  <rcc rId="3906" sId="1">
    <nc r="F99">
      <f>F100</f>
    </nc>
  </rcc>
  <rcc rId="3907" sId="1">
    <nc r="D100">
      <f>D101</f>
    </nc>
  </rcc>
  <rcc rId="3908" sId="1">
    <nc r="E100">
      <f>E101</f>
    </nc>
  </rcc>
  <rcc rId="3909" sId="1">
    <nc r="F100">
      <f>F101</f>
    </nc>
  </rcc>
  <rcc rId="3910" sId="1" xfDxf="1" dxf="1">
    <nc r="A99" t="inlineStr">
      <is>
        <t>Реализация мероприятий по антитеррористической защищенности муниципальных образовательных организаций в Архангельской области (вне рамок регионального проекта "Модернизация школьных систем образования в Архангельской области" учреждениям общего образования)</t>
      </is>
    </nc>
    <ndxf>
      <font>
        <name val="Times New Roman"/>
        <scheme val="none"/>
      </font>
      <numFmt numFmtId="30" formatCode="@"/>
      <fill>
        <patternFill patternType="solid">
          <bgColor rgb="FFFFFF0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11" sId="1" xfDxf="1" dxf="1">
    <nc r="A100" t="inlineStr">
      <is>
        <t>Предоставление субсидий бюджетным, автономным учреждениям и иным некоммерческим организациям</t>
      </is>
    </nc>
    <ndxf>
      <font>
        <name val="Times New Roman"/>
        <scheme val="none"/>
      </font>
      <numFmt numFmtId="30" formatCode="@"/>
      <fill>
        <patternFill patternType="solid">
          <bgColor rgb="FFFFFF0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12" sId="1" xfDxf="1" dxf="1">
    <nc r="A101" t="inlineStr">
      <is>
        <t>Субсидии бюджетным учреждениям</t>
      </is>
    </nc>
    <ndxf>
      <font>
        <name val="Times New Roman"/>
        <scheme val="none"/>
      </font>
      <numFmt numFmtId="30" formatCode="@"/>
      <fill>
        <patternFill patternType="solid">
          <bgColor rgb="FFFFFF0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13" sId="1" xfDxf="1" dxf="1">
    <nc r="A102" t="inlineStr">
      <is>
        <t xml:space="preserve">Субсидии бюджетным учреждениям на  финансовое обеспечение государственного (муниципального) задания на оказание государственных (муниципальных) услуг (выполнение работ) </t>
      </is>
    </nc>
    <ndxf>
      <font>
        <name val="Times New Roman"/>
        <scheme val="none"/>
      </font>
      <numFmt numFmtId="30" formatCode="@"/>
      <fill>
        <patternFill patternType="solid">
          <bgColor rgb="FFFFFF0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14" sId="1">
    <oc r="D74">
      <f>D83+D87+D103+D108+D119+D158+D162+D166+D75+D123+D131+D144+D135+D127+D95+D115+D153+D91+D79</f>
    </oc>
    <nc r="D74">
      <f>D83+D87+D103+D108+D119+D158+D162+D166+D75+D123+D131+D144+D135+D127+D95+D115+D153+D91+D79+D99</f>
    </nc>
  </rcc>
  <rcc rId="3915" sId="1">
    <oc r="E74">
      <f>E83+E87+E103+E108+E119+E158+E162+E166+E75+E123+E131+E144+E135+E127+E95+E115+E153+E91+E79</f>
    </oc>
    <nc r="E74">
      <f>E83+E87+E103+E108+E119+E158+E162+E166+E75+E123+E131+E144+E135+E127+E95+E115+E153+E91+E79+E99</f>
    </nc>
  </rcc>
  <rcc rId="3916" sId="1">
    <oc r="F74">
      <f>F83+F87+F103+F108+F119+F158+F162+F166+F75+F123+F131+F144+F135+F127+F95+F115+F153+F91+F79</f>
    </oc>
    <nc r="F74">
      <f>F83+F87+F103+F108+F119+F158+F162+F166+F75+F123+F131+F144+F135+F127+F95+F115+F153+F91+F79+F99</f>
    </nc>
  </rcc>
  <rcv guid="{D9B90A86-BE39-4FED-8226-084809D277F3}" action="delete"/>
  <rdn rId="0" localSheetId="1" customView="1" name="Z_D9B90A86_BE39_4FED_8226_084809D277F3_.wvu.PrintArea" hidden="1" oldHidden="1">
    <formula>'программы '!$A$1:$F$869</formula>
    <oldFormula>'программы '!$A$1:$F$869</oldFormula>
  </rdn>
  <rdn rId="0" localSheetId="1" customView="1" name="Z_D9B90A86_BE39_4FED_8226_084809D277F3_.wvu.Rows" hidden="1" oldHidden="1">
    <formula>'программы '!$286:$290</formula>
    <oldFormula>'программы '!$286:$290</oldFormula>
  </rdn>
  <rdn rId="0" localSheetId="1" customView="1" name="Z_D9B90A86_BE39_4FED_8226_084809D277F3_.wvu.FilterData" hidden="1" oldHidden="1">
    <formula>'программы '!$A$1:$A$882</formula>
    <oldFormula>'программы '!$A$1:$A$882</oldFormula>
  </rdn>
  <rcv guid="{D9B90A86-BE39-4FED-8226-084809D277F3}" action="add"/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08:A109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fmt sheetId="1" sqref="C100:C118">
    <dxf>
      <alignment horizontal="general" readingOrder="0"/>
    </dxf>
  </rfmt>
  <rfmt sheetId="1" sqref="C100:C118">
    <dxf>
      <alignment horizontal="center" readingOrder="0"/>
    </dxf>
  </rfmt>
  <rfmt sheetId="1" sqref="C100:C118">
    <dxf>
      <alignment horizontal="general" readingOrder="0"/>
    </dxf>
  </rfmt>
  <rfmt sheetId="1" sqref="C100:C118">
    <dxf>
      <alignment horizontal="center" readingOrder="0"/>
    </dxf>
  </rfmt>
  <rfmt sheetId="1" sqref="C100:C118">
    <dxf>
      <numFmt numFmtId="0" formatCode="General"/>
    </dxf>
  </rfmt>
  <rrc rId="3920" sId="1" ref="A171:XFD171" action="insertRow">
    <undo index="0" exp="area" ref3D="1" dr="$A$286:$XFD$290" dn="Z_D9B90A86_BE39_4FED_8226_084809D277F3_.wvu.Rows" sId="1"/>
    <undo index="0" exp="area" ref3D="1" dr="$A$286:$XFD$290" dn="Z_30E81E54_DD45_4653_9DCD_548F6723F554_.wvu.Rows" sId="1"/>
  </rrc>
  <rrc rId="3921" sId="1" ref="A171:XFD171" action="insertRow">
    <undo index="0" exp="area" ref3D="1" dr="$A$287:$XFD$291" dn="Z_D9B90A86_BE39_4FED_8226_084809D277F3_.wvu.Rows" sId="1"/>
    <undo index="0" exp="area" ref3D="1" dr="$A$287:$XFD$291" dn="Z_30E81E54_DD45_4653_9DCD_548F6723F554_.wvu.Rows" sId="1"/>
  </rrc>
  <rrc rId="3922" sId="1" ref="A171:XFD171" action="insertRow">
    <undo index="0" exp="area" ref3D="1" dr="$A$288:$XFD$292" dn="Z_D9B90A86_BE39_4FED_8226_084809D277F3_.wvu.Rows" sId="1"/>
    <undo index="0" exp="area" ref3D="1" dr="$A$288:$XFD$292" dn="Z_30E81E54_DD45_4653_9DCD_548F6723F554_.wvu.Rows" sId="1"/>
  </rrc>
  <rrc rId="3923" sId="1" ref="A171:XFD171" action="insertRow">
    <undo index="0" exp="area" ref3D="1" dr="$A$289:$XFD$293" dn="Z_D9B90A86_BE39_4FED_8226_084809D277F3_.wvu.Rows" sId="1"/>
    <undo index="0" exp="area" ref3D="1" dr="$A$289:$XFD$293" dn="Z_30E81E54_DD45_4653_9DCD_548F6723F554_.wvu.Rows" sId="1"/>
  </rrc>
  <rcc rId="3924" sId="1" xfDxf="1" dxf="1">
    <nc r="A171" t="inlineStr">
      <is>
        <t>Укрепление материально-технической базы и развитие противопожарной инфраструктуры в муниципальных образовательных организациях муниципальных образований Архангельской области</t>
      </is>
    </nc>
    <ndxf>
      <font>
        <b/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" sqref="A171:XFD174" start="0" length="2147483647">
    <dxf>
      <font>
        <b val="0"/>
      </font>
    </dxf>
  </rfmt>
  <rfmt sheetId="1" sqref="A171:XFD174" start="0" length="2147483647">
    <dxf>
      <font>
        <i/>
      </font>
    </dxf>
  </rfmt>
  <rfmt sheetId="1" sqref="A171:XFD174" start="0" length="2147483647">
    <dxf>
      <font>
        <i val="0"/>
      </font>
    </dxf>
  </rfmt>
  <rcc rId="3925" sId="1" xfDxf="1" dxf="1">
    <nc r="A172" t="inlineStr">
      <is>
        <t>Предоставление субсидий бюджетным, автономным учреждениям и иным некоммерческим организациям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926" sId="1" xfDxf="1" dxf="1">
    <nc r="A173" t="inlineStr">
      <is>
        <t>Субсидии бюджетным учреждениям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927" sId="1" xfDxf="1" dxf="1">
    <nc r="A174" t="inlineStr">
      <is>
        <t>Субсидии бюджетным учреждениям на иные цели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3928" sId="1">
    <nc r="B171" t="inlineStr">
      <is>
        <t>03 3 00 S6960</t>
      </is>
    </nc>
  </rcc>
  <rcc rId="3929" sId="1" xfDxf="1" s="1" dxf="1">
    <nc r="B172" t="inlineStr">
      <is>
        <t>03 3 00 S6960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_(* #,##0.0_);_(* \(#,##0.0\);_(*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30" sId="1" xfDxf="1" s="1" dxf="1">
    <nc r="B173" t="inlineStr">
      <is>
        <t>03 3 00 S6960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_(* #,##0.0_);_(* \(#,##0.0\);_(*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31" sId="1" xfDxf="1" s="1" dxf="1">
    <nc r="B174" t="inlineStr">
      <is>
        <t>03 3 00 S6960</t>
      </is>
    </nc>
    <n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165" formatCode="_(* #,##0.0_);_(* \(#,##0.0\);_(*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32" sId="1" numFmtId="34">
    <nc r="C174">
      <v>612</v>
    </nc>
  </rcc>
  <rcc rId="3933" sId="1" numFmtId="34">
    <nc r="C173">
      <v>610</v>
    </nc>
  </rcc>
  <rcc rId="3934" sId="1" numFmtId="34">
    <nc r="C172">
      <v>600</v>
    </nc>
  </rcc>
  <rcc rId="3935" sId="1">
    <nc r="D173">
      <f>D174</f>
    </nc>
  </rcc>
  <rcc rId="3936" sId="1">
    <nc r="E173">
      <f>E174</f>
    </nc>
  </rcc>
  <rcc rId="3937" sId="1">
    <nc r="F173">
      <f>F174</f>
    </nc>
  </rcc>
  <rcc rId="3938" sId="1">
    <nc r="D171">
      <f>D172</f>
    </nc>
  </rcc>
  <rcc rId="3939" sId="1">
    <nc r="E171">
      <f>E172</f>
    </nc>
  </rcc>
  <rcc rId="3940" sId="1">
    <nc r="F171">
      <f>F172</f>
    </nc>
  </rcc>
  <rcc rId="3941" sId="1">
    <nc r="D172">
      <f>D173</f>
    </nc>
  </rcc>
  <rcc rId="3942" sId="1">
    <nc r="E172">
      <f>E173</f>
    </nc>
  </rcc>
  <rcc rId="3943" sId="1">
    <nc r="F172">
      <f>F173</f>
    </nc>
  </rcc>
  <rcc rId="3944" sId="1">
    <oc r="D170">
      <f>D175+D179+D184+D194+D189</f>
    </oc>
    <nc r="D170">
      <f>D175+D179+D184+D194+D189+D171</f>
    </nc>
  </rcc>
  <rcc rId="3945" sId="1">
    <oc r="E170">
      <f>E175+E179+E184+E194+E189</f>
    </oc>
    <nc r="E170">
      <f>E175+E179+E184+E194+E189+E171</f>
    </nc>
  </rcc>
  <rcc rId="3946" sId="1">
    <oc r="F170">
      <f>F175+F179+F184+F194+F189</f>
    </oc>
    <nc r="F170">
      <f>F175+F179+F184+F194+F189+F171</f>
    </nc>
  </rcc>
  <rfmt sheetId="1" sqref="A171:XFD174">
    <dxf>
      <fill>
        <patternFill>
          <bgColor rgb="FFFFFF00"/>
        </patternFill>
      </fill>
    </dxf>
  </rfmt>
  <rcv guid="{D9B90A86-BE39-4FED-8226-084809D277F3}" action="delete"/>
  <rdn rId="0" localSheetId="1" customView="1" name="Z_D9B90A86_BE39_4FED_8226_084809D277F3_.wvu.PrintArea" hidden="1" oldHidden="1">
    <formula>'программы '!$A$1:$F$873</formula>
    <oldFormula>'программы '!$A$1:$F$873</oldFormula>
  </rdn>
  <rdn rId="0" localSheetId="1" customView="1" name="Z_D9B90A86_BE39_4FED_8226_084809D277F3_.wvu.Rows" hidden="1" oldHidden="1">
    <formula>'программы '!$290:$294</formula>
    <oldFormula>'программы '!$290:$294</oldFormula>
  </rdn>
  <rdn rId="0" localSheetId="1" customView="1" name="Z_D9B90A86_BE39_4FED_8226_084809D277F3_.wvu.FilterData" hidden="1" oldHidden="1">
    <formula>'программы '!$A$1:$A$886</formula>
    <oldFormula>'программы '!$A$1:$A$886</oldFormula>
  </rdn>
  <rcv guid="{D9B90A86-BE39-4FED-8226-084809D277F3}" action="add"/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950" sId="1" ref="A865:XFD865" action="insertRow"/>
  <rrc rId="3951" sId="1" ref="A865:XFD865" action="insertRow"/>
  <rrc rId="3952" sId="1" ref="A865:XFD865" action="insertRow"/>
  <rcc rId="3953" sId="1">
    <nc r="C867" t="inlineStr">
      <is>
        <t>612</t>
      </is>
    </nc>
  </rcc>
  <rcc rId="3954" sId="1">
    <nc r="C866" t="inlineStr">
      <is>
        <t>610</t>
      </is>
    </nc>
  </rcc>
  <rcc rId="3955" sId="1">
    <nc r="C865" t="inlineStr">
      <is>
        <t>600</t>
      </is>
    </nc>
  </rcc>
  <rrc rId="3956" sId="1" ref="A871:XFD871" action="insertRow"/>
  <rrc rId="3957" sId="1" ref="A871:XFD871" action="insertRow"/>
  <rrc rId="3958" sId="1" ref="A871:XFD871" action="insertRow"/>
  <rcc rId="3959" sId="1">
    <nc r="C873" t="inlineStr">
      <is>
        <t>612</t>
      </is>
    </nc>
  </rcc>
  <rcc rId="3960" sId="1">
    <nc r="C872" t="inlineStr">
      <is>
        <t>610</t>
      </is>
    </nc>
  </rcc>
  <rcc rId="3961" sId="1">
    <nc r="C871" t="inlineStr">
      <is>
        <t>600</t>
      </is>
    </nc>
  </rcc>
  <rcc rId="3962" sId="1" xfDxf="1" s="1" dxf="1">
    <nc r="A865" t="inlineStr">
      <is>
        <t>Предоставление субсидий бюджетным, автономным учреждениям и иным некоммерческим организациям</t>
      </is>
    </nc>
    <n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63" sId="1" xfDxf="1" dxf="1">
    <nc r="A871" t="inlineStr">
      <is>
        <t>Предоставление субсидий бюджетным, автономным учреждениям и иным некоммерческим организациям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1" sqref="A865" start="0" length="2147483647">
    <dxf>
      <font>
        <i val="0"/>
      </font>
    </dxf>
  </rfmt>
  <rcc rId="3964" sId="1" xfDxf="1" dxf="1">
    <nc r="A872" t="inlineStr">
      <is>
        <t>Субсидии бюджетным учреждениям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965" sId="1" xfDxf="1" s="1" dxf="1">
    <nc r="A866" t="inlineStr">
      <is>
        <t>Субсидии бюджетным учреждениям</t>
      </is>
    </nc>
    <n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866:XFD866" start="0" length="2147483647">
    <dxf>
      <font>
        <i val="0"/>
      </font>
    </dxf>
  </rfmt>
  <rfmt sheetId="1" sqref="A868:XFD875">
    <dxf>
      <alignment vertical="bottom" readingOrder="0"/>
    </dxf>
  </rfmt>
  <rfmt sheetId="1" sqref="A868:XFD875">
    <dxf>
      <alignment vertical="center" readingOrder="0"/>
    </dxf>
  </rfmt>
  <rcc rId="3966" sId="1" xfDxf="1" dxf="1">
    <nc r="A873" t="inlineStr">
      <is>
        <t>Субсидии бюджетным учреждениям на иные цели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967" sId="1" xfDxf="1" s="1" dxf="1">
    <nc r="A867" t="inlineStr">
      <is>
        <t>Субсидии бюджетным учреждениям на иные цели</t>
      </is>
    </nc>
    <n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68" sId="1" xfDxf="1" dxf="1">
    <nc r="B865" t="inlineStr">
      <is>
        <t>67 0 00 S8890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69" sId="1" xfDxf="1" dxf="1">
    <nc r="B866" t="inlineStr">
      <is>
        <t>67 0 00 S8890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70" sId="1" xfDxf="1" dxf="1">
    <nc r="B867" t="inlineStr">
      <is>
        <t>67 0 00 S8890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3971" sId="1" xfDxf="1" dxf="1">
    <nc r="B871" t="inlineStr">
      <is>
        <t>67 0 00 88890</t>
      </is>
    </nc>
    <ndxf>
      <font>
        <name val="Times New Roman"/>
        <scheme val="none"/>
      </font>
      <numFmt numFmtId="30" formatCode="@"/>
      <fill>
        <patternFill patternType="solid">
          <bgColor theme="0"/>
        </patternFill>
      </fill>
      <alignment horizontal="center" vertical="center" readingOrder="0"/>
      <border outline="0">
        <bottom style="thin">
          <color indexed="64"/>
        </bottom>
      </border>
    </ndxf>
  </rcc>
  <rcc rId="3972" sId="1" xfDxf="1" dxf="1">
    <nc r="B872" t="inlineStr">
      <is>
        <t>67 0 00 88890</t>
      </is>
    </nc>
    <ndxf>
      <font>
        <name val="Times New Roman"/>
        <scheme val="none"/>
      </font>
      <numFmt numFmtId="30" formatCode="@"/>
      <fill>
        <patternFill patternType="solid">
          <bgColor theme="0"/>
        </patternFill>
      </fill>
      <alignment horizontal="center" vertical="center" readingOrder="0"/>
      <border outline="0">
        <bottom style="thin">
          <color indexed="64"/>
        </bottom>
      </border>
    </ndxf>
  </rcc>
  <rcc rId="3973" sId="1" xfDxf="1" dxf="1">
    <nc r="B873" t="inlineStr">
      <is>
        <t>67 0 00 88890</t>
      </is>
    </nc>
    <ndxf>
      <font>
        <name val="Times New Roman"/>
        <scheme val="none"/>
      </font>
      <numFmt numFmtId="30" formatCode="@"/>
      <fill>
        <patternFill patternType="solid">
          <bgColor theme="0"/>
        </patternFill>
      </fill>
      <alignment horizontal="center" vertical="center" readingOrder="0"/>
      <border outline="0">
        <bottom style="thin">
          <color indexed="64"/>
        </bottom>
      </border>
    </ndxf>
  </rcc>
  <rcc rId="3974" sId="1">
    <nc r="D872">
      <f>D873</f>
    </nc>
  </rcc>
  <rcc rId="3975" sId="1">
    <nc r="E872">
      <f>E873</f>
    </nc>
  </rcc>
  <rcc rId="3976" sId="1">
    <nc r="F872">
      <f>F873</f>
    </nc>
  </rcc>
  <rcc rId="3977" sId="1">
    <nc r="D871">
      <f>D872</f>
    </nc>
  </rcc>
  <rcc rId="3978" sId="1">
    <nc r="E871">
      <f>E872</f>
    </nc>
  </rcc>
  <rcc rId="3979" sId="1">
    <nc r="F871">
      <f>F872</f>
    </nc>
  </rcc>
  <rcc rId="3980" sId="1">
    <oc r="D870">
      <f>D874</f>
    </oc>
    <nc r="D870">
      <f>D874+D871</f>
    </nc>
  </rcc>
  <rcc rId="3981" sId="1">
    <oc r="E870">
      <f>E874</f>
    </oc>
    <nc r="E870">
      <f>E874+E871</f>
    </nc>
  </rcc>
  <rcc rId="3982" sId="1">
    <oc r="F870">
      <f>F874</f>
    </oc>
    <nc r="F870">
      <f>F874+F871</f>
    </nc>
  </rcc>
  <rcc rId="3983" sId="1">
    <nc r="D866">
      <f>D867</f>
    </nc>
  </rcc>
  <rcc rId="3984" sId="1">
    <nc r="E866">
      <f>E867</f>
    </nc>
  </rcc>
  <rcc rId="3985" sId="1">
    <nc r="F866">
      <f>F867</f>
    </nc>
  </rcc>
  <rcc rId="3986" sId="1">
    <nc r="D865">
      <f>D866</f>
    </nc>
  </rcc>
  <rcc rId="3987" sId="1">
    <nc r="E865">
      <f>E866</f>
    </nc>
  </rcc>
  <rcc rId="3988" sId="1">
    <nc r="F865">
      <f>F866</f>
    </nc>
  </rcc>
  <rcc rId="3989" sId="1">
    <oc r="D864">
      <f>D868</f>
    </oc>
    <nc r="D864">
      <f>D868+D865</f>
    </nc>
  </rcc>
  <rcc rId="3990" sId="1">
    <oc r="E864">
      <f>E868</f>
    </oc>
    <nc r="E864">
      <f>E868+E865</f>
    </nc>
  </rcc>
  <rcc rId="3991" sId="1">
    <oc r="F864">
      <f>F868</f>
    </oc>
    <nc r="F864">
      <f>F868+F865</f>
    </nc>
  </rcc>
  <rfmt sheetId="1" sqref="A865:XFD867">
    <dxf>
      <fill>
        <patternFill>
          <bgColor rgb="FFFFFF00"/>
        </patternFill>
      </fill>
    </dxf>
  </rfmt>
  <rfmt sheetId="1" sqref="A871:XFD873">
    <dxf>
      <fill>
        <patternFill>
          <bgColor rgb="FFFFFF00"/>
        </patternFill>
      </fill>
    </dxf>
  </rfmt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867:XFD867" start="0" length="2147483647">
    <dxf>
      <font>
        <i val="0"/>
      </font>
    </dxf>
  </rfmt>
  <rrc rId="3992" sId="1" ref="A249:XFD249" action="insertRow">
    <undo index="0" exp="area" ref3D="1" dr="$A$290:$XFD$294" dn="Z_D9B90A86_BE39_4FED_8226_084809D277F3_.wvu.Rows" sId="1"/>
    <undo index="0" exp="area" ref3D="1" dr="$A$290:$XFD$294" dn="Z_30E81E54_DD45_4653_9DCD_548F6723F554_.wvu.Rows" sId="1"/>
  </rrc>
  <rrc rId="3993" sId="1" ref="A249:XFD249" action="insertRow">
    <undo index="0" exp="area" ref3D="1" dr="$A$291:$XFD$295" dn="Z_D9B90A86_BE39_4FED_8226_084809D277F3_.wvu.Rows" sId="1"/>
    <undo index="0" exp="area" ref3D="1" dr="$A$291:$XFD$295" dn="Z_30E81E54_DD45_4653_9DCD_548F6723F554_.wvu.Rows" sId="1"/>
  </rrc>
  <rrc rId="3994" sId="1" ref="A249:XFD249" action="insertRow">
    <undo index="0" exp="area" ref3D="1" dr="$A$292:$XFD$296" dn="Z_D9B90A86_BE39_4FED_8226_084809D277F3_.wvu.Rows" sId="1"/>
    <undo index="0" exp="area" ref3D="1" dr="$A$292:$XFD$296" dn="Z_30E81E54_DD45_4653_9DCD_548F6723F554_.wvu.Rows" sId="1"/>
  </rrc>
  <rrc rId="3995" sId="1" ref="A250:XFD250" action="insertRow">
    <undo index="0" exp="area" ref3D="1" dr="$A$293:$XFD$297" dn="Z_D9B90A86_BE39_4FED_8226_084809D277F3_.wvu.Rows" sId="1"/>
    <undo index="0" exp="area" ref3D="1" dr="$A$293:$XFD$297" dn="Z_30E81E54_DD45_4653_9DCD_548F6723F554_.wvu.Rows" sId="1"/>
  </rrc>
  <rfmt sheetId="1" sqref="A249:XFD252">
    <dxf>
      <fill>
        <patternFill>
          <bgColor rgb="FFFFFF00"/>
        </patternFill>
      </fill>
    </dxf>
  </rfmt>
  <rcc rId="3996" sId="1" xfDxf="1" dxf="1">
    <nc r="A249" t="inlineStr">
      <is>
        <t>Организация и содержание мест захоронения</t>
      </is>
    </nc>
    <ndxf>
      <font>
        <name val="Times New Roman"/>
        <scheme val="none"/>
      </font>
      <fill>
        <patternFill patternType="solid">
          <bgColor rgb="FFFFFF0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997" sId="1" xfDxf="1" dxf="1">
    <nc r="A250" t="inlineStr">
      <is>
        <t>Закупка товаров, работ и услуг для обеспечения государственных (муниципальных) нужд</t>
      </is>
    </nc>
    <ndxf>
      <font>
        <name val="Times New Roman"/>
        <scheme val="none"/>
      </font>
      <fill>
        <patternFill patternType="solid">
          <bgColor rgb="FFFFFF0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998" sId="1" xfDxf="1" dxf="1">
    <nc r="A251" t="inlineStr">
      <is>
        <t>Иные закупки товаров,работ и услуг для обеспечения государственных (муниципальных) нужд</t>
      </is>
    </nc>
    <ndxf>
      <font>
        <name val="Times New Roman"/>
        <scheme val="none"/>
      </font>
      <fill>
        <patternFill patternType="solid">
          <bgColor rgb="FFFFFF0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3999" sId="1" xfDxf="1" dxf="1">
    <nc r="A252" t="inlineStr">
      <is>
        <t xml:space="preserve">Прочая закупка товаров, работ и услуг </t>
      </is>
    </nc>
    <ndxf>
      <font>
        <name val="Times New Roman"/>
        <scheme val="none"/>
      </font>
      <fill>
        <patternFill patternType="solid">
          <bgColor rgb="FFFFFF0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000" sId="1">
    <nc r="C252" t="inlineStr">
      <is>
        <t>244</t>
      </is>
    </nc>
  </rcc>
  <rcc rId="4001" sId="1">
    <nc r="C251" t="inlineStr">
      <is>
        <t>240</t>
      </is>
    </nc>
  </rcc>
  <rcc rId="4002" sId="1">
    <nc r="C250" t="inlineStr">
      <is>
        <t>200</t>
      </is>
    </nc>
  </rcc>
  <rcc rId="4003" sId="1">
    <nc r="B249" t="inlineStr">
      <is>
        <t>04 0 00 10840</t>
      </is>
    </nc>
  </rcc>
  <rcc rId="4004" sId="1">
    <nc r="B250" t="inlineStr">
      <is>
        <t>04 0 00 10840</t>
      </is>
    </nc>
  </rcc>
  <rcc rId="4005" sId="1" xfDxf="1" dxf="1">
    <nc r="B251" t="inlineStr">
      <is>
        <t>04 0 00 10840</t>
      </is>
    </nc>
    <ndxf>
      <font>
        <name val="Times New Roman"/>
        <scheme val="none"/>
      </font>
      <numFmt numFmtId="30" formatCode="@"/>
      <fill>
        <patternFill patternType="solid">
          <bgColor rgb="FFFFFF00"/>
        </patternFill>
      </fill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4006" sId="1" xfDxf="1" dxf="1">
    <nc r="B252" t="inlineStr">
      <is>
        <t>04 0 00 10840</t>
      </is>
    </nc>
    <ndxf>
      <font>
        <name val="Times New Roman"/>
        <scheme val="none"/>
      </font>
      <numFmt numFmtId="30" formatCode="@"/>
      <fill>
        <patternFill patternType="solid">
          <bgColor rgb="FFFFFF00"/>
        </patternFill>
      </fill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4007" sId="1">
    <nc r="D251">
      <f>D252</f>
    </nc>
  </rcc>
  <rcc rId="4008" sId="1">
    <nc r="E251">
      <f>E252</f>
    </nc>
  </rcc>
  <rcc rId="4009" sId="1">
    <nc r="F251">
      <f>F252</f>
    </nc>
  </rcc>
  <rcc rId="4010" sId="1">
    <nc r="D249">
      <f>D250</f>
    </nc>
  </rcc>
  <rcc rId="4011" sId="1">
    <nc r="E249">
      <f>E250</f>
    </nc>
  </rcc>
  <rcc rId="4012" sId="1">
    <nc r="F249">
      <f>F250</f>
    </nc>
  </rcc>
  <rcc rId="4013" sId="1">
    <nc r="D250">
      <f>D251</f>
    </nc>
  </rcc>
  <rcc rId="4014" sId="1">
    <nc r="E250">
      <f>E251</f>
    </nc>
  </rcc>
  <rcc rId="4015" sId="1">
    <nc r="F250">
      <f>F251</f>
    </nc>
  </rcc>
  <rcc rId="4016" sId="1">
    <oc r="D244">
      <f>D245+D253+D257+D261+D266+D270</f>
    </oc>
    <nc r="D244">
      <f>D245+D253+D257+D261+D266+D270+D249</f>
    </nc>
  </rcc>
  <rcc rId="4017" sId="1">
    <oc r="E244">
      <f>E245+E253+E257+E261+E266+E270</f>
    </oc>
    <nc r="E244">
      <f>E245+E253+E257+E261+E266+E270+E249</f>
    </nc>
  </rcc>
  <rcc rId="4018" sId="1">
    <oc r="F244">
      <f>F245+F253+F257+F261+F266+F270</f>
    </oc>
    <nc r="F244">
      <f>F245+F253+F257+F261+F266+F270+F249</f>
    </nc>
  </rcc>
  <rcv guid="{D9B90A86-BE39-4FED-8226-084809D277F3}" action="delete"/>
  <rdn rId="0" localSheetId="1" customView="1" name="Z_D9B90A86_BE39_4FED_8226_084809D277F3_.wvu.PrintArea" hidden="1" oldHidden="1">
    <formula>'программы '!$A$1:$F$883</formula>
    <oldFormula>'программы '!$A$1:$F$883</oldFormula>
  </rdn>
  <rdn rId="0" localSheetId="1" customView="1" name="Z_D9B90A86_BE39_4FED_8226_084809D277F3_.wvu.Rows" hidden="1" oldHidden="1">
    <formula>'программы '!$294:$298</formula>
    <oldFormula>'программы '!$294:$298</oldFormula>
  </rdn>
  <rdn rId="0" localSheetId="1" customView="1" name="Z_D9B90A86_BE39_4FED_8226_084809D277F3_.wvu.FilterData" hidden="1" oldHidden="1">
    <formula>'программы '!$A$1:$A$896</formula>
    <oldFormula>'программы '!$A$1:$A$896</oldFormula>
  </rdn>
  <rcv guid="{D9B90A86-BE39-4FED-8226-084809D277F3}" action="add"/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022" sId="1" ref="A869:XFD869" action="insertRow"/>
  <rrc rId="4023" sId="1" ref="A869:XFD869" action="insertRow"/>
  <rrc rId="4024" sId="1" ref="A869:XFD869" action="insertRow"/>
  <rrc rId="4025" sId="1" ref="A878:XFD878" action="insertRow"/>
  <rrc rId="4026" sId="1" ref="A878:XFD878" action="insertRow"/>
  <rrc rId="4027" sId="1" ref="A879:XFD879" action="insertRow"/>
  <rcc rId="4028" sId="1">
    <nc r="C880" t="inlineStr">
      <is>
        <t>244</t>
      </is>
    </nc>
  </rcc>
  <rcc rId="4029" sId="1">
    <nc r="C879" t="inlineStr">
      <is>
        <t>240</t>
      </is>
    </nc>
  </rcc>
  <rcc rId="4030" sId="1">
    <nc r="C878" t="inlineStr">
      <is>
        <t>200</t>
      </is>
    </nc>
  </rcc>
  <rcc rId="4031" sId="1">
    <nc r="C871" t="inlineStr">
      <is>
        <t>244</t>
      </is>
    </nc>
  </rcc>
  <rcc rId="4032" sId="1">
    <nc r="C870" t="inlineStr">
      <is>
        <t>240</t>
      </is>
    </nc>
  </rcc>
  <rcc rId="4033" sId="1">
    <nc r="C869" t="inlineStr">
      <is>
        <t>200</t>
      </is>
    </nc>
  </rcc>
  <rcc rId="4034" sId="1" xfDxf="1" s="1" dxf="1">
    <nc r="A869" t="inlineStr">
      <is>
        <t>Закупка товаров, работ и услуг для обеспечения государственных (муниципальных) нужд</t>
      </is>
    </nc>
    <n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35" sId="1" xfDxf="1" s="1" dxf="1">
    <nc r="A870" t="inlineStr">
      <is>
        <t>Иные закупки товаров,работ и услуг для обеспечения государственных (муниципальных) нужд</t>
      </is>
    </nc>
    <n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36" sId="1" xfDxf="1" s="1" dxf="1">
    <nc r="A871" t="inlineStr">
      <is>
        <t>Прочая закупка товаров, работ и услуг</t>
      </is>
    </nc>
    <n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869:XFD871" start="0" length="2147483647">
    <dxf>
      <font>
        <i val="0"/>
      </font>
    </dxf>
  </rfmt>
  <rcc rId="4037" sId="1" xfDxf="1" dxf="1">
    <nc r="B869" t="inlineStr">
      <is>
        <t>67 0 00 S8890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38" sId="1" xfDxf="1" dxf="1">
    <nc r="B870" t="inlineStr">
      <is>
        <t>67 0 00 S8890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39" sId="1" xfDxf="1" dxf="1">
    <nc r="B871" t="inlineStr">
      <is>
        <t>67 0 00 S8890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center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40" sId="1" xfDxf="1" dxf="1">
    <nc r="A880" t="inlineStr">
      <is>
        <t>Прочая закупка товаров, работ и услуг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041" sId="1" xfDxf="1" dxf="1">
    <nc r="A879" t="inlineStr">
      <is>
        <t>Иные закупки товаров,работ и услуг для обеспечения государственных (муниципальных) нужд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042" sId="1" xfDxf="1" dxf="1">
    <nc r="A878" t="inlineStr">
      <is>
        <t>Закупка товаров, работ и услуг для обеспечения государственных (муниципальных) нужд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1" sqref="A869:XFD871">
    <dxf>
      <fill>
        <patternFill>
          <bgColor rgb="FFFFFF00"/>
        </patternFill>
      </fill>
    </dxf>
  </rfmt>
  <rfmt sheetId="1" sqref="A878:XFD880">
    <dxf>
      <fill>
        <patternFill>
          <bgColor rgb="FFFFFF00"/>
        </patternFill>
      </fill>
    </dxf>
  </rfmt>
  <rcc rId="4043" sId="1">
    <oc r="D868">
      <f>D875+D872</f>
    </oc>
    <nc r="D868">
      <f>D875+D872+D869</f>
    </nc>
  </rcc>
  <rcc rId="4044" sId="1">
    <oc r="E868">
      <f>E875+E872</f>
    </oc>
    <nc r="E868">
      <f>E875+E872+E869</f>
    </nc>
  </rcc>
  <rcc rId="4045" sId="1">
    <oc r="F868">
      <f>F875+F872</f>
    </oc>
    <nc r="F868">
      <f>F875+F872+F869</f>
    </nc>
  </rcc>
  <rcc rId="4046" sId="1">
    <oc r="D877">
      <f>D884+D881</f>
    </oc>
    <nc r="D877">
      <f>D884+D881+D878</f>
    </nc>
  </rcc>
  <rcc rId="4047" sId="1">
    <oc r="E877">
      <f>E884+E881</f>
    </oc>
    <nc r="E877">
      <f>E884+E881+E878</f>
    </nc>
  </rcc>
  <rcc rId="4048" sId="1">
    <oc r="F877">
      <f>F884+F881</f>
    </oc>
    <nc r="F877">
      <f>F884+F881+F878</f>
    </nc>
  </rcc>
  <rcc rId="4049" sId="1" xfDxf="1" dxf="1">
    <nc r="B878" t="inlineStr">
      <is>
        <t>67 0 00 88890</t>
      </is>
    </nc>
    <ndxf>
      <font>
        <name val="Times New Roman"/>
        <scheme val="none"/>
      </font>
      <numFmt numFmtId="30" formatCode="@"/>
      <fill>
        <patternFill patternType="solid">
          <bgColor rgb="FFFFFF00"/>
        </patternFill>
      </fill>
      <alignment horizontal="center" vertical="center" readingOrder="0"/>
      <border outline="0">
        <bottom style="thin">
          <color indexed="64"/>
        </bottom>
      </border>
    </ndxf>
  </rcc>
  <rcc rId="4050" sId="1" xfDxf="1" dxf="1">
    <nc r="B879" t="inlineStr">
      <is>
        <t>67 0 00 88890</t>
      </is>
    </nc>
    <ndxf>
      <font>
        <name val="Times New Roman"/>
        <scheme val="none"/>
      </font>
      <numFmt numFmtId="30" formatCode="@"/>
      <fill>
        <patternFill patternType="solid">
          <bgColor rgb="FFFFFF00"/>
        </patternFill>
      </fill>
      <alignment horizontal="center" vertical="center" readingOrder="0"/>
      <border outline="0">
        <bottom style="thin">
          <color indexed="64"/>
        </bottom>
      </border>
    </ndxf>
  </rcc>
  <rcc rId="4051" sId="1" xfDxf="1" dxf="1">
    <nc r="B880" t="inlineStr">
      <is>
        <t>67 0 00 88890</t>
      </is>
    </nc>
    <ndxf>
      <font>
        <name val="Times New Roman"/>
        <scheme val="none"/>
      </font>
      <numFmt numFmtId="30" formatCode="@"/>
      <fill>
        <patternFill patternType="solid">
          <bgColor rgb="FFFFFF00"/>
        </patternFill>
      </fill>
      <alignment horizontal="center" vertical="center" readingOrder="0"/>
      <border outline="0">
        <bottom style="thin">
          <color indexed="64"/>
        </bottom>
      </border>
    </ndxf>
  </rcc>
  <rcv guid="{D9B90A86-BE39-4FED-8226-084809D277F3}" action="delete"/>
  <rdn rId="0" localSheetId="1" customView="1" name="Z_D9B90A86_BE39_4FED_8226_084809D277F3_.wvu.PrintArea" hidden="1" oldHidden="1">
    <formula>'программы '!$A$1:$F$889</formula>
    <oldFormula>'программы '!$A$1:$F$889</oldFormula>
  </rdn>
  <rdn rId="0" localSheetId="1" customView="1" name="Z_D9B90A86_BE39_4FED_8226_084809D277F3_.wvu.Rows" hidden="1" oldHidden="1">
    <formula>'программы '!$294:$298</formula>
    <oldFormula>'программы '!$294:$298</oldFormula>
  </rdn>
  <rdn rId="0" localSheetId="1" customView="1" name="Z_D9B90A86_BE39_4FED_8226_084809D277F3_.wvu.FilterData" hidden="1" oldHidden="1">
    <formula>'программы '!$A$1:$A$902</formula>
    <oldFormula>'программы '!$A$1:$A$902</oldFormula>
  </rdn>
  <rcv guid="{D9B90A86-BE39-4FED-8226-084809D277F3}" action="add"/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868" start="0" length="2147483647">
    <dxf>
      <font>
        <i val="0"/>
      </font>
    </dxf>
  </rfmt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55" sId="1">
    <nc r="D870">
      <f>D871</f>
    </nc>
  </rcc>
  <rcc rId="4056" sId="1">
    <nc r="E870">
      <f>E871</f>
    </nc>
  </rcc>
  <rcc rId="4057" sId="1">
    <nc r="F870">
      <f>F871</f>
    </nc>
  </rcc>
  <rcc rId="4058" sId="1">
    <nc r="D869">
      <f>D870</f>
    </nc>
  </rcc>
  <rcc rId="4059" sId="1">
    <nc r="E869">
      <f>E870</f>
    </nc>
  </rcc>
  <rcc rId="4060" sId="1">
    <nc r="F869">
      <f>F870</f>
    </nc>
  </rcc>
  <rcc rId="4061" sId="1">
    <nc r="D879">
      <f>D880</f>
    </nc>
  </rcc>
  <rcc rId="4062" sId="1">
    <nc r="E879">
      <f>E880</f>
    </nc>
  </rcc>
  <rcc rId="4063" sId="1">
    <nc r="F879">
      <f>F880</f>
    </nc>
  </rcc>
  <rcc rId="4064" sId="1">
    <nc r="D878">
      <f>D879</f>
    </nc>
  </rcc>
  <rcc rId="4065" sId="1">
    <nc r="E878">
      <f>E879</f>
    </nc>
  </rcc>
  <rcc rId="4066" sId="1">
    <nc r="F878">
      <f>F879</f>
    </nc>
  </rcc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067" sId="1" ref="A886:XFD886" action="insertRow"/>
  <rrc rId="4068" sId="1" ref="A886:XFD886" action="insertRow"/>
  <rrc rId="4069" sId="1" ref="A886:XFD886" action="insertRow"/>
  <rrc rId="4070" sId="1" ref="A886:XFD886" action="insertRow"/>
  <rrc rId="4071" sId="1" ref="A886:XFD886" action="insertRow"/>
  <rfmt sheetId="1" sqref="A886:A891" start="0" length="0">
    <dxf>
      <border>
        <left style="thin">
          <color indexed="64"/>
        </left>
      </border>
    </dxf>
  </rfmt>
  <rfmt sheetId="1" sqref="F886:F891" start="0" length="0">
    <dxf>
      <border>
        <right style="thin">
          <color indexed="64"/>
        </right>
      </border>
    </dxf>
  </rfmt>
  <rfmt sheetId="1" sqref="A886:F89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cc rId="4072" sId="1">
    <nc r="B886" t="inlineStr">
      <is>
        <t>68 0 00 00000</t>
      </is>
    </nc>
  </rcc>
  <rcc rId="4073" sId="1" xfDxf="1" dxf="1">
    <nc r="A886" t="inlineStr">
      <is>
        <t>Сохранение объектов культурного наследия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A886" start="0" length="2147483647">
    <dxf>
      <font>
        <b/>
      </font>
    </dxf>
  </rfmt>
  <rfmt sheetId="1" sqref="A886" start="0" length="2147483647">
    <dxf>
      <font>
        <i/>
      </font>
    </dxf>
  </rfmt>
  <rfmt sheetId="1" sqref="A886:XFD886" start="0" length="2147483647">
    <dxf>
      <font>
        <b val="0"/>
      </font>
    </dxf>
  </rfmt>
  <rfmt sheetId="1" sqref="A886:XFD886" start="0" length="2147483647">
    <dxf>
      <font>
        <b/>
      </font>
    </dxf>
  </rfmt>
  <rcc rId="4074" sId="1">
    <nc r="C890" t="inlineStr">
      <is>
        <t>244</t>
      </is>
    </nc>
  </rcc>
  <rcc rId="4075" sId="1">
    <nc r="C889" t="inlineStr">
      <is>
        <t>240</t>
      </is>
    </nc>
  </rcc>
  <rcc rId="4076" sId="1">
    <nc r="C888" t="inlineStr">
      <is>
        <t>200</t>
      </is>
    </nc>
  </rcc>
  <rcc rId="4077" sId="1" xfDxf="1" dxf="1">
    <nc r="A887" t="inlineStr">
      <is>
        <t>Мероприятия по сохранению объекта культурного наследия регионального значения "Мост на реке Кене"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78" sId="1" xfDxf="1" dxf="1">
    <nc r="A888" t="inlineStr">
      <is>
        <t>Закупка товаров, работ и услуг для обеспечения государственных (муниципальных) нужд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79" sId="1" xfDxf="1" dxf="1">
    <nc r="A889" t="inlineStr">
      <is>
        <t>Иные закупки товаров,работ и услуг для обеспечения государственных (муниципальных) нужд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80" sId="1" xfDxf="1" dxf="1">
    <nc r="A890" t="inlineStr">
      <is>
        <t xml:space="preserve">Прочая закупка товаров, работ и услуг 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4081" sId="1">
    <nc r="B887" t="inlineStr">
      <is>
        <t>68 0 00 80410</t>
      </is>
    </nc>
  </rcc>
  <rcc rId="4082" sId="1">
    <nc r="B888" t="inlineStr">
      <is>
        <t>68 0 00 80410</t>
      </is>
    </nc>
  </rcc>
  <rcc rId="4083" sId="1">
    <nc r="B889" t="inlineStr">
      <is>
        <t>68 0 00 80410</t>
      </is>
    </nc>
  </rcc>
  <rcc rId="4084" sId="1">
    <nc r="B890" t="inlineStr">
      <is>
        <t>68 0 00 80410</t>
      </is>
    </nc>
  </rcc>
  <rcc rId="4085" sId="1">
    <nc r="D889">
      <f>D890</f>
    </nc>
  </rcc>
  <rcc rId="4086" sId="1">
    <nc r="E889">
      <f>E890</f>
    </nc>
  </rcc>
  <rcc rId="4087" sId="1">
    <nc r="F889">
      <f>F890</f>
    </nc>
  </rcc>
  <rcc rId="4088" sId="1" odxf="1" dxf="1">
    <nc r="D886">
      <f>D887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4089" sId="1" odxf="1" dxf="1">
    <nc r="E886">
      <f>E887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4090" sId="1" odxf="1" dxf="1">
    <nc r="F886">
      <f>F887</f>
    </nc>
    <odxf>
      <font>
        <b/>
        <name val="Times New Roman"/>
        <scheme val="none"/>
      </font>
    </odxf>
    <ndxf>
      <font>
        <b val="0"/>
        <name val="Times New Roman"/>
        <scheme val="none"/>
      </font>
    </ndxf>
  </rcc>
  <rcc rId="4091" sId="1">
    <nc r="D887">
      <f>D888</f>
    </nc>
  </rcc>
  <rcc rId="4092" sId="1">
    <nc r="E887">
      <f>E888</f>
    </nc>
  </rcc>
  <rcc rId="4093" sId="1">
    <nc r="F887">
      <f>F888</f>
    </nc>
  </rcc>
  <rcc rId="4094" sId="1">
    <nc r="D888">
      <f>D889</f>
    </nc>
  </rcc>
  <rcc rId="4095" sId="1">
    <nc r="E888">
      <f>E889</f>
    </nc>
  </rcc>
  <rcc rId="4096" sId="1">
    <nc r="F888">
      <f>F889</f>
    </nc>
  </rcc>
  <rfmt sheetId="1" sqref="A886:XFD890">
    <dxf>
      <fill>
        <patternFill>
          <bgColor rgb="FFFFFF00"/>
        </patternFill>
      </fill>
    </dxf>
  </rfmt>
  <rcv guid="{D9B90A86-BE39-4FED-8226-084809D277F3}" action="delete"/>
  <rdn rId="0" localSheetId="1" customView="1" name="Z_D9B90A86_BE39_4FED_8226_084809D277F3_.wvu.PrintArea" hidden="1" oldHidden="1">
    <formula>'программы '!$A$1:$F$894</formula>
    <oldFormula>'программы '!$A$1:$F$894</oldFormula>
  </rdn>
  <rdn rId="0" localSheetId="1" customView="1" name="Z_D9B90A86_BE39_4FED_8226_084809D277F3_.wvu.Rows" hidden="1" oldHidden="1">
    <formula>'программы '!$294:$298</formula>
    <oldFormula>'программы '!$294:$298</oldFormula>
  </rdn>
  <rdn rId="0" localSheetId="1" customView="1" name="Z_D9B90A86_BE39_4FED_8226_084809D277F3_.wvu.FilterData" hidden="1" oldHidden="1">
    <formula>'программы '!$A$1:$A$907</formula>
    <oldFormula>'программы '!$A$1:$A$907</oldFormula>
  </rdn>
  <rcv guid="{D9B90A86-BE39-4FED-8226-084809D277F3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77" sId="1" numFmtId="34">
    <oc r="D446">
      <v>3516000</v>
    </oc>
    <nc r="D446">
      <f>3516000-253536</f>
    </nc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100" sId="1" ref="A313:XFD313" action="insertRow"/>
  <rrc rId="4101" sId="1" ref="A313:XFD313" action="insertRow"/>
  <rcc rId="4102" sId="1" xfDxf="1" dxf="1">
    <nc r="A314" t="inlineStr">
      <is>
        <t>Уплата налогов, сборов и иных платежей</t>
      </is>
    </nc>
    <ndxf>
      <font>
        <name val="Times New Roman"/>
        <scheme val="none"/>
      </font>
      <fill>
        <patternFill patternType="solid">
          <bgColor theme="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103" sId="1" xfDxf="1" dxf="1">
    <nc r="A313" t="inlineStr">
      <is>
        <t xml:space="preserve">Иные бюджетные ассигнования </t>
      </is>
    </nc>
    <ndxf>
      <font>
        <name val="Times New Roman"/>
        <scheme val="none"/>
      </font>
      <fill>
        <patternFill patternType="solid">
          <bgColor theme="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104" sId="1" numFmtId="34">
    <nc r="C314">
      <v>850</v>
    </nc>
  </rcc>
  <rcc rId="4105" sId="1" numFmtId="34">
    <nc r="C313">
      <v>800</v>
    </nc>
  </rcc>
  <rcc rId="4106" sId="1">
    <nc r="B314" t="inlineStr">
      <is>
        <t>06 1 00 80430</t>
      </is>
    </nc>
  </rcc>
  <rcc rId="4107" sId="1">
    <nc r="B313" t="inlineStr">
      <is>
        <t>06 1 00 80430</t>
      </is>
    </nc>
  </rcc>
  <rfmt sheetId="1" sqref="A313:XFD314">
    <dxf>
      <fill>
        <patternFill>
          <bgColor rgb="FFFFFF00"/>
        </patternFill>
      </fill>
    </dxf>
  </rfmt>
  <rcc rId="4108" sId="1">
    <nc r="D313">
      <f>D314</f>
    </nc>
  </rcc>
  <rcc rId="4109" sId="1">
    <nc r="E313">
      <f>E314</f>
    </nc>
  </rcc>
  <rcc rId="4110" sId="1">
    <nc r="F313">
      <f>F314</f>
    </nc>
  </rcc>
  <rrc rId="4111" sId="1" ref="A309:XFD309" action="deleteRow">
    <undo index="3" exp="ref" v="1" dr="F309" r="F301" sId="1"/>
    <undo index="3" exp="ref" v="1" dr="E309" r="E301" sId="1"/>
    <undo index="3" exp="ref" v="1" dr="D309" r="D301" sId="1"/>
    <rfmt sheetId="1" xfDxf="1" sqref="A309:XFD309" start="0" length="0">
      <dxf>
        <font>
          <name val="Times New Roman"/>
          <scheme val="none"/>
        </font>
        <alignment vertical="center" readingOrder="0"/>
      </dxf>
    </rfmt>
    <rcc rId="0" sId="1" dxf="1">
      <nc r="A309" t="inlineStr">
        <is>
          <t>Мероприятия в области физической культуры и спорта</t>
        </is>
      </nc>
      <ndxf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B309" t="inlineStr">
        <is>
          <t>06 1 00 80430</t>
        </is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="1" sqref="C309" start="0" length="0">
      <dxf>
        <numFmt numFmtId="166" formatCode="_(* #,##0_);_(* \(#,##0\);_(* &quot;-&quot;??_);_(@_)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D309">
        <f>D311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09">
        <f>E311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309">
        <f>F311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112" sId="1">
    <oc r="D301">
      <f>D302+D305+#REF!</f>
    </oc>
    <nc r="D301">
      <f>D302+D305+D309+D312</f>
    </nc>
  </rcc>
  <rcc rId="4113" sId="1">
    <oc r="E301">
      <f>E302+E305+#REF!</f>
    </oc>
    <nc r="E301">
      <f>E302+E305+E309+E312</f>
    </nc>
  </rcc>
  <rcc rId="4114" sId="1">
    <oc r="F301">
      <f>F302+F305+#REF!</f>
    </oc>
    <nc r="F301">
      <f>F302+F305+F309+F312</f>
    </nc>
  </rcc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36:A38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rc rId="4115" sId="1" ref="A772:XFD772" action="insertRow"/>
  <rrc rId="4116" sId="1" ref="A772:XFD772" action="insertRow"/>
  <rrc rId="4117" sId="1" ref="A772:XFD772" action="insertRow"/>
  <rrc rId="4118" sId="1" ref="A772:XFD772" action="insertRow"/>
  <rcc rId="4119" sId="1">
    <nc r="C775">
      <v>244</v>
    </nc>
  </rcc>
  <rcc rId="4120" sId="1">
    <nc r="C774">
      <v>240</v>
    </nc>
  </rcc>
  <rcc rId="4121" sId="1">
    <nc r="C773">
      <v>200</v>
    </nc>
  </rcc>
  <rcc rId="4122" sId="1" xfDxf="1" dxf="1">
    <nc r="B772" t="inlineStr">
      <is>
        <t>59 0 00 83661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4123" sId="1" xfDxf="1" dxf="1">
    <nc r="B773" t="inlineStr">
      <is>
        <t>59 0 00 83661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4124" sId="1" xfDxf="1" dxf="1">
    <nc r="B774" t="inlineStr">
      <is>
        <t>59 0 00 83661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4125" sId="1" xfDxf="1" dxf="1">
    <nc r="B775" t="inlineStr">
      <is>
        <t>59 0 00 83661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4126" sId="1">
    <nc r="D774">
      <f>D775</f>
    </nc>
  </rcc>
  <rcc rId="4127" sId="1">
    <nc r="E774">
      <f>E775</f>
    </nc>
  </rcc>
  <rcc rId="4128" sId="1">
    <nc r="F774">
      <f>F775</f>
    </nc>
  </rcc>
  <rcc rId="4129" sId="1">
    <nc r="D772">
      <f>D773</f>
    </nc>
  </rcc>
  <rcc rId="4130" sId="1">
    <nc r="E772">
      <f>E773</f>
    </nc>
  </rcc>
  <rcc rId="4131" sId="1">
    <nc r="F772">
      <f>F773</f>
    </nc>
  </rcc>
  <rcc rId="4132" sId="1">
    <nc r="D773">
      <f>D774</f>
    </nc>
  </rcc>
  <rcc rId="4133" sId="1">
    <nc r="E773">
      <f>E774</f>
    </nc>
  </rcc>
  <rcc rId="4134" sId="1">
    <nc r="F773">
      <f>F774</f>
    </nc>
  </rcc>
  <rcc rId="4135" sId="1" xfDxf="1" dxf="1">
    <nc r="A772" t="inlineStr">
      <is>
        <t>Затраты на обследование жилищного фонда на признание многоквартирных домов аварийными и подлежащими сносу или реконструкции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136" sId="1" xfDxf="1" dxf="1">
    <nc r="A773" t="inlineStr">
      <is>
        <t>Закупка товаров, работ и услуг для обеспечения государственных (муниципальных) нужд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137" sId="1" xfDxf="1" dxf="1">
    <nc r="A774" t="inlineStr">
      <is>
        <t>Иные закупки товаров,работ и услуг для обеспечения государственных (муниципальных) нужд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138" sId="1" xfDxf="1" dxf="1">
    <nc r="A775" t="inlineStr">
      <is>
        <t>Прочая закупка товаров, работ и услуг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139" sId="1">
    <oc r="D743">
      <f>D744+D752+D756+D776+D768</f>
    </oc>
    <nc r="D743">
      <f>D744+D752+D756+D776+D768+D772</f>
    </nc>
  </rcc>
  <rcc rId="4140" sId="1">
    <oc r="E743">
      <f>E744+E752+E756+E776+E768</f>
    </oc>
    <nc r="E743">
      <f>E744+E752+E756+E776+E768+E772</f>
    </nc>
  </rcc>
  <rcc rId="4141" sId="1">
    <oc r="F743">
      <f>F744+F752+F756+F776+F768</f>
    </oc>
    <nc r="F743">
      <f>F744+F752+F756+F776+F768+F772</f>
    </nc>
  </rcc>
  <rcv guid="{D9B90A86-BE39-4FED-8226-084809D277F3}" action="delete"/>
  <rdn rId="0" localSheetId="1" customView="1" name="Z_D9B90A86_BE39_4FED_8226_084809D277F3_.wvu.PrintArea" hidden="1" oldHidden="1">
    <formula>'программы '!$A$1:$F$899</formula>
    <oldFormula>'программы '!$A$1:$F$899</oldFormula>
  </rdn>
  <rdn rId="0" localSheetId="1" customView="1" name="Z_D9B90A86_BE39_4FED_8226_084809D277F3_.wvu.Rows" hidden="1" oldHidden="1">
    <formula>'программы '!$294:$298</formula>
    <oldFormula>'программы '!$294:$298</oldFormula>
  </rdn>
  <rdn rId="0" localSheetId="1" customView="1" name="Z_D9B90A86_BE39_4FED_8226_084809D277F3_.wvu.FilterData" hidden="1" oldHidden="1">
    <formula>'программы '!$A$1:$A$912</formula>
    <oldFormula>'программы '!$A$1:$A$912</oldFormula>
  </rdn>
  <rcv guid="{D9B90A86-BE39-4FED-8226-084809D277F3}" action="add"/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772:XFD775">
    <dxf>
      <fill>
        <patternFill>
          <bgColor rgb="FFFFFF00"/>
        </patternFill>
      </fill>
    </dxf>
  </rfmt>
  <rfmt sheetId="1" sqref="A772">
    <dxf>
      <fill>
        <patternFill>
          <bgColor rgb="FF00B050"/>
        </patternFill>
      </fill>
    </dxf>
  </rfmt>
  <rrc rId="4145" sId="1" ref="A791:XFD791" action="insertRow"/>
  <rrc rId="4146" sId="1" ref="A791:XFD791" action="insertRow"/>
  <rrc rId="4147" sId="1" ref="A791:XFD791" action="insertRow"/>
  <rrc rId="4148" sId="1" ref="A791:XFD791" action="insertRow"/>
  <rcc rId="4149" sId="1">
    <nc r="C794" t="inlineStr">
      <is>
        <t>811</t>
      </is>
    </nc>
  </rcc>
  <rcc rId="4150" sId="1">
    <nc r="C793" t="inlineStr">
      <is>
        <t>810</t>
      </is>
    </nc>
  </rcc>
  <rcc rId="4151" sId="1">
    <nc r="C792" t="inlineStr">
      <is>
        <t>800</t>
      </is>
    </nc>
  </rcc>
  <rcc rId="4152" sId="1" xfDxf="1" dxf="1">
    <nc r="A791" t="inlineStr">
      <is>
        <t>Возмещение убытков МУП "Плесецк-Ресурс", связанных с оказанием банных услуг на территории пос.Североонежск, по тарифам, не обеспечивающим возмещение издержек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153" sId="1" xfDxf="1" dxf="1">
    <nc r="A792" t="inlineStr">
      <is>
        <t>Иные бюджетные ассигнования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154" sId="1" xfDxf="1" dxf="1">
    <nc r="A793" t="inlineStr">
      <is>
        <t>Субсидии юридическим лицам (кроме некомерческих организаций), индивидуальным предпринимателям, физическим лицам - производителям товаров, работ, услуг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155" sId="1" xfDxf="1" dxf="1">
    <nc r="A794" t="inlineStr">
      <is>
        <t>Субсидии на возмещение недополученных доходов или возмещение фактически понесенных затрат в связи с производством (реализацией) товаров, выполнением работ, оказанием услуг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156" sId="1" xfDxf="1" dxf="1">
    <nc r="B791" t="inlineStr">
      <is>
        <t>59 0 00 83694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4157" sId="1" xfDxf="1" dxf="1">
    <nc r="B792" t="inlineStr">
      <is>
        <t>59 0 00 83694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4158" sId="1" xfDxf="1" dxf="1">
    <nc r="B793" t="inlineStr">
      <is>
        <t>59 0 00 83694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4159" sId="1" xfDxf="1" dxf="1">
    <nc r="B794" t="inlineStr">
      <is>
        <t>59 0 00 83694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4160" sId="1">
    <nc r="D793">
      <f>D794</f>
    </nc>
  </rcc>
  <rcc rId="4161" sId="1">
    <nc r="E793">
      <f>E794</f>
    </nc>
  </rcc>
  <rcc rId="4162" sId="1">
    <nc r="F793">
      <f>F794</f>
    </nc>
  </rcc>
  <rcc rId="4163" sId="1">
    <nc r="D791">
      <f>D792</f>
    </nc>
  </rcc>
  <rcc rId="4164" sId="1">
    <nc r="E791">
      <f>E792</f>
    </nc>
  </rcc>
  <rcc rId="4165" sId="1">
    <nc r="F791">
      <f>F792</f>
    </nc>
  </rcc>
  <rcc rId="4166" sId="1">
    <nc r="D792">
      <f>D793</f>
    </nc>
  </rcc>
  <rcc rId="4167" sId="1">
    <nc r="E792">
      <f>E793</f>
    </nc>
  </rcc>
  <rcc rId="4168" sId="1">
    <nc r="F792">
      <f>F793</f>
    </nc>
  </rcc>
  <rfmt sheetId="1" sqref="A791:XFD794">
    <dxf>
      <fill>
        <patternFill>
          <bgColor rgb="FFFFFF00"/>
        </patternFill>
      </fill>
    </dxf>
  </rfmt>
  <rcc rId="4169" sId="1">
    <oc r="D776">
      <f>D781+D777+D783+D787</f>
    </oc>
    <nc r="D776">
      <f>D781+D777+D783+D787+D791</f>
    </nc>
  </rcc>
  <rcc rId="4170" sId="1">
    <oc r="E776">
      <f>E781+E777+E783+E787</f>
    </oc>
    <nc r="E776">
      <f>E781+E777+E783+E787+E791</f>
    </nc>
  </rcc>
  <rcc rId="4171" sId="1">
    <oc r="F776">
      <f>F781+F777+F783+F787</f>
    </oc>
    <nc r="F776">
      <f>F781+F777+F783+F787+F791</f>
    </nc>
  </rcc>
  <rrc rId="4172" sId="1" ref="A253:XFD253" action="insertRow">
    <undo index="0" exp="area" ref3D="1" dr="$A$294:$XFD$298" dn="Z_D9B90A86_BE39_4FED_8226_084809D277F3_.wvu.Rows" sId="1"/>
    <undo index="0" exp="area" ref3D="1" dr="$A$294:$XFD$298" dn="Z_30E81E54_DD45_4653_9DCD_548F6723F554_.wvu.Rows" sId="1"/>
  </rrc>
  <rrc rId="4173" sId="1" ref="A253:XFD253" action="insertRow">
    <undo index="0" exp="area" ref3D="1" dr="$A$295:$XFD$299" dn="Z_D9B90A86_BE39_4FED_8226_084809D277F3_.wvu.Rows" sId="1"/>
    <undo index="0" exp="area" ref3D="1" dr="$A$295:$XFD$299" dn="Z_30E81E54_DD45_4653_9DCD_548F6723F554_.wvu.Rows" sId="1"/>
  </rrc>
  <rrc rId="4174" sId="1" ref="A253:XFD253" action="insertRow">
    <undo index="0" exp="area" ref3D="1" dr="$A$296:$XFD$300" dn="Z_D9B90A86_BE39_4FED_8226_084809D277F3_.wvu.Rows" sId="1"/>
    <undo index="0" exp="area" ref3D="1" dr="$A$296:$XFD$300" dn="Z_30E81E54_DD45_4653_9DCD_548F6723F554_.wvu.Rows" sId="1"/>
  </rrc>
  <rrc rId="4175" sId="1" ref="A254:XFD254" action="insertRow">
    <undo index="0" exp="area" ref3D="1" dr="$A$297:$XFD$301" dn="Z_D9B90A86_BE39_4FED_8226_084809D277F3_.wvu.Rows" sId="1"/>
    <undo index="0" exp="area" ref3D="1" dr="$A$297:$XFD$301" dn="Z_30E81E54_DD45_4653_9DCD_548F6723F554_.wvu.Rows" sId="1"/>
  </rrc>
  <rcc rId="4176" sId="1" xfDxf="1" dxf="1">
    <nc r="B253" t="inlineStr">
      <is>
        <t>04 0 00 80740</t>
      </is>
    </nc>
    <ndxf>
      <font>
        <name val="Times New Roman"/>
        <scheme val="none"/>
      </font>
      <numFmt numFmtId="30" formatCode="@"/>
      <fill>
        <patternFill patternType="solid">
          <bgColor rgb="FFFFFF00"/>
        </patternFill>
      </fill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4177" sId="1" xfDxf="1" dxf="1">
    <nc r="B254" t="inlineStr">
      <is>
        <t>04 0 00 80740</t>
      </is>
    </nc>
    <ndxf>
      <font>
        <name val="Times New Roman"/>
        <scheme val="none"/>
      </font>
      <numFmt numFmtId="30" formatCode="@"/>
      <fill>
        <patternFill patternType="solid">
          <bgColor rgb="FFFFFF00"/>
        </patternFill>
      </fill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4178" sId="1" xfDxf="1" dxf="1">
    <nc r="B255" t="inlineStr">
      <is>
        <t>04 0 00 80740</t>
      </is>
    </nc>
    <ndxf>
      <font>
        <name val="Times New Roman"/>
        <scheme val="none"/>
      </font>
      <numFmt numFmtId="30" formatCode="@"/>
      <fill>
        <patternFill patternType="solid">
          <bgColor rgb="FFFFFF00"/>
        </patternFill>
      </fill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4179" sId="1" xfDxf="1" dxf="1">
    <nc r="B256" t="inlineStr">
      <is>
        <t>04 0 00 80740</t>
      </is>
    </nc>
    <ndxf>
      <font>
        <name val="Times New Roman"/>
        <scheme val="none"/>
      </font>
      <numFmt numFmtId="30" formatCode="@"/>
      <fill>
        <patternFill patternType="solid">
          <bgColor rgb="FFFFFF00"/>
        </patternFill>
      </fill>
      <alignment horizontal="center" vertical="center" readingOrder="0"/>
      <border outline="0">
        <top style="thin">
          <color indexed="64"/>
        </top>
        <bottom style="thin">
          <color indexed="64"/>
        </bottom>
      </border>
    </ndxf>
  </rcc>
  <rcc rId="4180" sId="1">
    <nc r="C256" t="inlineStr">
      <is>
        <t>244</t>
      </is>
    </nc>
  </rcc>
  <rcc rId="4181" sId="1">
    <nc r="C255" t="inlineStr">
      <is>
        <t>240</t>
      </is>
    </nc>
  </rcc>
  <rcc rId="4182" sId="1">
    <nc r="C254" t="inlineStr">
      <is>
        <t>200</t>
      </is>
    </nc>
  </rcc>
  <rcc rId="4183" sId="1" xfDxf="1" dxf="1">
    <nc r="A256" t="inlineStr">
      <is>
        <t xml:space="preserve">Прочая закупка товаров, работ и услуг </t>
      </is>
    </nc>
    <ndxf>
      <font>
        <name val="Times New Roman"/>
        <scheme val="none"/>
      </font>
      <fill>
        <patternFill patternType="solid">
          <bgColor rgb="FFFFFF0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184" sId="1" xfDxf="1" dxf="1">
    <nc r="A255" t="inlineStr">
      <is>
        <t>Иные закупки товаров,работ и услуг для обеспечения государственных (муниципальных) нужд</t>
      </is>
    </nc>
    <ndxf>
      <font>
        <name val="Times New Roman"/>
        <scheme val="none"/>
      </font>
      <fill>
        <patternFill patternType="solid">
          <bgColor rgb="FFFFFF0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185" sId="1" xfDxf="1" dxf="1">
    <nc r="A254" t="inlineStr">
      <is>
        <t>Закупка товаров, работ и услуг для обеспечения государственных (муниципальных) нужд</t>
      </is>
    </nc>
    <ndxf>
      <font>
        <name val="Times New Roman"/>
        <scheme val="none"/>
      </font>
      <fill>
        <patternFill patternType="solid">
          <bgColor rgb="FFFFFF0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186" sId="1" xfDxf="1" dxf="1">
    <nc r="A253" t="inlineStr">
      <is>
        <t>Мероприятия в сфере охраны окружающей среды и обеспечения экологической безопасности населения</t>
      </is>
    </nc>
    <ndxf>
      <font>
        <name val="Times New Roman"/>
        <scheme val="none"/>
      </font>
      <fill>
        <patternFill patternType="solid">
          <bgColor rgb="FFFFFF0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rc rId="4187" sId="1" ref="A253:XFD253" action="deleteRow">
    <undo index="0" exp="area" ref3D="1" dr="$A$298:$XFD$302" dn="Z_D9B90A86_BE39_4FED_8226_084809D277F3_.wvu.Rows" sId="1"/>
    <undo index="0" exp="area" ref3D="1" dr="$A$298:$XFD$302" dn="Z_30E81E54_DD45_4653_9DCD_548F6723F554_.wvu.Rows" sId="1"/>
    <rfmt sheetId="1" xfDxf="1" sqref="A253:XFD253" start="0" length="0">
      <dxf>
        <font>
          <name val="Times New Roman"/>
          <scheme val="none"/>
        </font>
        <fill>
          <patternFill patternType="solid">
            <bgColor rgb="FFFFFF00"/>
          </patternFill>
        </fill>
        <alignment vertical="center" readingOrder="0"/>
      </dxf>
    </rfmt>
    <rcc rId="0" sId="1" dxf="1">
      <nc r="A253" t="inlineStr">
        <is>
          <t>Мероприятия в сфере охраны окружающей среды и обеспечения экологической безопасности населения</t>
        </is>
      </nc>
      <ndxf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253" t="inlineStr">
        <is>
          <t>04 0 00 80740</t>
        </is>
      </nc>
      <ndxf>
        <numFmt numFmtId="30" formatCode="@"/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ndxf>
    </rcc>
    <rfmt sheetId="1" sqref="C253" start="0" length="0">
      <dxf>
        <numFmt numFmtId="30" formatCode="@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dxf>
    </rfmt>
    <rfmt sheetId="1" s="1" sqref="D253" start="0" length="0">
      <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253" start="0" length="0">
      <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253" start="0" length="0">
      <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188" sId="1" ref="A253:XFD253" action="deleteRow">
    <undo index="0" exp="area" ref3D="1" dr="$A$297:$XFD$301" dn="Z_D9B90A86_BE39_4FED_8226_084809D277F3_.wvu.Rows" sId="1"/>
    <undo index="0" exp="area" ref3D="1" dr="$A$297:$XFD$301" dn="Z_30E81E54_DD45_4653_9DCD_548F6723F554_.wvu.Rows" sId="1"/>
    <rfmt sheetId="1" xfDxf="1" sqref="A253:XFD253" start="0" length="0">
      <dxf>
        <font>
          <name val="Times New Roman"/>
          <scheme val="none"/>
        </font>
        <fill>
          <patternFill patternType="solid">
            <bgColor rgb="FFFFFF00"/>
          </patternFill>
        </fill>
        <alignment vertical="center" readingOrder="0"/>
      </dxf>
    </rfmt>
    <rcc rId="0" sId="1" dxf="1">
      <nc r="A253" t="inlineStr">
        <is>
          <t>Закупка товаров, работ и услуг для обеспечения государственных (муниципальных) нужд</t>
        </is>
      </nc>
      <ndxf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253" t="inlineStr">
        <is>
          <t>04 0 00 80740</t>
        </is>
      </nc>
      <ndxf>
        <numFmt numFmtId="30" formatCode="@"/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C253" t="inlineStr">
        <is>
          <t>200</t>
        </is>
      </nc>
      <ndxf>
        <numFmt numFmtId="30" formatCode="@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="1" sqref="D253" start="0" length="0">
      <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253" start="0" length="0">
      <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253" start="0" length="0">
      <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189" sId="1" ref="A253:XFD253" action="deleteRow">
    <undo index="0" exp="area" ref3D="1" dr="$A$296:$XFD$300" dn="Z_D9B90A86_BE39_4FED_8226_084809D277F3_.wvu.Rows" sId="1"/>
    <undo index="0" exp="area" ref3D="1" dr="$A$296:$XFD$300" dn="Z_30E81E54_DD45_4653_9DCD_548F6723F554_.wvu.Rows" sId="1"/>
    <rfmt sheetId="1" xfDxf="1" sqref="A253:XFD253" start="0" length="0">
      <dxf>
        <font>
          <name val="Times New Roman"/>
          <scheme val="none"/>
        </font>
        <fill>
          <patternFill patternType="solid">
            <bgColor rgb="FFFFFF00"/>
          </patternFill>
        </fill>
        <alignment vertical="center" readingOrder="0"/>
      </dxf>
    </rfmt>
    <rcc rId="0" sId="1" dxf="1">
      <nc r="A253" t="inlineStr">
        <is>
          <t>Иные закупки товаров,работ и услуг для обеспечения государственных (муниципальных) нужд</t>
        </is>
      </nc>
      <ndxf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253" t="inlineStr">
        <is>
          <t>04 0 00 80740</t>
        </is>
      </nc>
      <ndxf>
        <numFmt numFmtId="30" formatCode="@"/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C253" t="inlineStr">
        <is>
          <t>240</t>
        </is>
      </nc>
      <ndxf>
        <numFmt numFmtId="30" formatCode="@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="1" sqref="D253" start="0" length="0">
      <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253" start="0" length="0">
      <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253" start="0" length="0">
      <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rc rId="4190" sId="1" ref="A253:XFD253" action="deleteRow">
    <undo index="0" exp="area" ref3D="1" dr="$A$295:$XFD$299" dn="Z_D9B90A86_BE39_4FED_8226_084809D277F3_.wvu.Rows" sId="1"/>
    <undo index="0" exp="area" ref3D="1" dr="$A$295:$XFD$299" dn="Z_30E81E54_DD45_4653_9DCD_548F6723F554_.wvu.Rows" sId="1"/>
    <rfmt sheetId="1" xfDxf="1" sqref="A253:XFD253" start="0" length="0">
      <dxf>
        <font>
          <name val="Times New Roman"/>
          <scheme val="none"/>
        </font>
        <fill>
          <patternFill patternType="solid">
            <bgColor rgb="FFFFFF00"/>
          </patternFill>
        </fill>
        <alignment vertical="center" readingOrder="0"/>
      </dxf>
    </rfmt>
    <rcc rId="0" sId="1" dxf="1">
      <nc r="A253" t="inlineStr">
        <is>
          <t xml:space="preserve">Прочая закупка товаров, работ и услуг </t>
        </is>
      </nc>
      <ndxf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253" t="inlineStr">
        <is>
          <t>04 0 00 80740</t>
        </is>
      </nc>
      <ndxf>
        <numFmt numFmtId="30" formatCode="@"/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ndxf>
    </rcc>
    <rcc rId="0" sId="1" dxf="1">
      <nc r="C253" t="inlineStr">
        <is>
          <t>244</t>
        </is>
      </nc>
      <ndxf>
        <numFmt numFmtId="30" formatCode="@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</ndxf>
    </rcc>
    <rfmt sheetId="1" s="1" sqref="D253" start="0" length="0">
      <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253" start="0" length="0">
      <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253" start="0" length="0">
      <dxf>
        <numFmt numFmtId="164" formatCode="_-* #,##0.00_р_._-;\-* #,##0.00_р_._-;_-* &quot;-&quot;??_р_._-;_-@_-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v guid="{D9B90A86-BE39-4FED-8226-084809D277F3}" action="delete"/>
  <rdn rId="0" localSheetId="1" customView="1" name="Z_D9B90A86_BE39_4FED_8226_084809D277F3_.wvu.PrintArea" hidden="1" oldHidden="1">
    <formula>'программы '!$A$1:$F$903</formula>
    <oldFormula>'программы '!$A$1:$F$903</oldFormula>
  </rdn>
  <rdn rId="0" localSheetId="1" customView="1" name="Z_D9B90A86_BE39_4FED_8226_084809D277F3_.wvu.Rows" hidden="1" oldHidden="1">
    <formula>'программы '!$294:$298</formula>
    <oldFormula>'программы '!$294:$298</oldFormula>
  </rdn>
  <rdn rId="0" localSheetId="1" customView="1" name="Z_D9B90A86_BE39_4FED_8226_084809D277F3_.wvu.FilterData" hidden="1" oldHidden="1">
    <formula>'программы '!$A$1:$A$916</formula>
    <oldFormula>'программы '!$A$1:$A$916</oldFormula>
  </rdn>
  <rcv guid="{D9B90A86-BE39-4FED-8226-084809D277F3}" action="add"/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D9B90A86_BE39_4FED_8226_084809D277F3_.wvu.Rows" hidden="1" oldHidden="1">
    <oldFormula>'программы '!$294:$298</oldFormula>
  </rdn>
  <rcv guid="{D9B90A86-BE39-4FED-8226-084809D277F3}" action="delete"/>
  <rdn rId="0" localSheetId="1" customView="1" name="Z_D9B90A86_BE39_4FED_8226_084809D277F3_.wvu.PrintArea" hidden="1" oldHidden="1">
    <formula>'программы '!$A$1:$F$903</formula>
    <oldFormula>'программы '!$A$1:$F$903</oldFormula>
  </rdn>
  <rdn rId="0" localSheetId="1" customView="1" name="Z_D9B90A86_BE39_4FED_8226_084809D277F3_.wvu.FilterData" hidden="1" oldHidden="1">
    <formula>'программы '!$C$1:$C$911</formula>
    <oldFormula>'программы '!$A$1:$A$916</oldFormula>
  </rdn>
  <rcv guid="{D9B90A86-BE39-4FED-8226-084809D277F3}" action="add"/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97" sId="1" xfDxf="1" dxf="1">
    <oc r="A102" t="inlineStr">
      <is>
        <t xml:space="preserve">Субсидии бюджетным учреждениям на  финансовое обеспечение государственного (муниципального) задания на оказание государственных (муниципальных) услуг (выполнение работ) </t>
      </is>
    </oc>
    <nc r="A102" t="inlineStr">
      <is>
        <t>Субсидии бюджетным учреждениям на иные цели</t>
      </is>
    </nc>
    <ndxf>
      <font>
        <name val="Times New Roman"/>
        <scheme val="none"/>
      </font>
      <numFmt numFmtId="30" formatCode="@"/>
      <fill>
        <patternFill patternType="solid">
          <bgColor rgb="FFFFFF0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D9B90A86-BE39-4FED-8226-084809D277F3}" action="delete"/>
  <rdn rId="0" localSheetId="1" customView="1" name="Z_D9B90A86_BE39_4FED_8226_084809D277F3_.wvu.PrintArea" hidden="1" oldHidden="1">
    <formula>'программы '!$A$1:$F$903</formula>
    <oldFormula>'программы '!$A$1:$F$903</oldFormula>
  </rdn>
  <rdn rId="0" localSheetId="1" customView="1" name="Z_D9B90A86_BE39_4FED_8226_084809D277F3_.wvu.FilterData" hidden="1" oldHidden="1">
    <formula>'программы '!$C$1:$C$911</formula>
    <oldFormula>'программы '!$C$1:$C$911</oldFormula>
  </rdn>
  <rcv guid="{D9B90A86-BE39-4FED-8226-084809D277F3}" action="add"/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00" sId="1" xfDxf="1" dxf="1">
    <oc r="A390" t="inlineStr">
      <is>
        <t>Мероприятия в сфере профилактики правонарушений</t>
      </is>
    </oc>
    <nc r="A390" t="inlineStr">
      <is>
        <t xml:space="preserve">Прочая закупка товаров, работ и услуг 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201" sId="1" xfDxf="1" dxf="1">
    <oc r="A389" t="inlineStr">
      <is>
        <t xml:space="preserve">Прочая закупка товаров, работ и услуг </t>
      </is>
    </oc>
    <nc r="A389" t="inlineStr">
      <is>
        <t>Иные закупки товаров,работ и услуг для обеспечения государственных (муниципальных) нужд</t>
      </is>
    </nc>
    <ndxf>
      <font>
        <name val="Times New Roman"/>
        <scheme val="none"/>
      </font>
      <fill>
        <patternFill patternType="solid">
          <bgColor theme="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4202" sId="1" xfDxf="1" dxf="1">
    <oc r="A388" t="inlineStr">
      <is>
        <t>Иные закупки товаров,работ и услуг для обеспечения государственных (муниципальных) нужд</t>
      </is>
    </oc>
    <nc r="A388" t="inlineStr">
      <is>
        <t>Закупка товаров, работ и услуг для обеспечения государственных (муниципальных) нужд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fmt sheetId="1" sqref="C382:C396">
    <dxf>
      <numFmt numFmtId="0" formatCode="General"/>
    </dxf>
  </rfmt>
  <rfmt sheetId="1" sqref="C371:C899">
    <dxf>
      <numFmt numFmtId="0" formatCode="General"/>
    </dxf>
  </rfmt>
  <rfmt sheetId="1" sqref="C268:C333">
    <dxf>
      <numFmt numFmtId="0" formatCode="General"/>
    </dxf>
  </rfmt>
  <rfmt sheetId="1" sqref="C356:C359">
    <dxf>
      <alignment horizontal="general" readingOrder="0"/>
    </dxf>
  </rfmt>
  <rfmt sheetId="1" sqref="C356:C359">
    <dxf>
      <alignment horizontal="center" readingOrder="0"/>
    </dxf>
  </rfmt>
  <rfmt sheetId="1" sqref="C356:C359">
    <dxf>
      <alignment vertical="bottom" readingOrder="0"/>
    </dxf>
  </rfmt>
  <rfmt sheetId="1" sqref="C356:C359">
    <dxf>
      <alignment vertical="center" readingOrder="0"/>
    </dxf>
  </rfmt>
  <rfmt sheetId="1" sqref="C356:C359">
    <dxf>
      <alignment horizontal="general" readingOrder="0"/>
    </dxf>
  </rfmt>
  <rfmt sheetId="1" sqref="C356:C359">
    <dxf>
      <numFmt numFmtId="0" formatCode="General"/>
    </dxf>
  </rfmt>
  <rfmt sheetId="1" sqref="C358">
    <dxf>
      <alignment horizontal="center" readingOrder="0"/>
    </dxf>
  </rfmt>
  <rfmt sheetId="1" sqref="C356:C360">
    <dxf>
      <alignment horizontal="center" readingOrder="0"/>
    </dxf>
  </rfmt>
  <rcc rId="4203" sId="1" xfDxf="1" dxf="1">
    <oc r="A387" t="inlineStr">
      <is>
        <t>Закупка товаров, работ и услуг для обеспечения государственных (муниципальных) нужд</t>
      </is>
    </oc>
    <nc r="A387" t="inlineStr">
      <is>
        <t>Мероприятия в сфере профилактики правонарушений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rc rId="4204" sId="1" ref="A386:XFD386" action="deleteRow">
    <undo index="0" exp="ref" v="1" dr="F386" r="F385" sId="1"/>
    <undo index="0" exp="ref" v="1" dr="E386" r="E385" sId="1"/>
    <undo index="0" exp="ref" v="1" dr="D386" r="D385" sId="1"/>
    <undo index="0" exp="ref" v="1" dr="F386" r="F384" sId="1"/>
    <undo index="0" exp="ref" v="1" dr="E386" r="E384" sId="1"/>
    <undo index="0" exp="ref" v="1" dr="D386" r="D384" sId="1"/>
    <rfmt sheetId="1" xfDxf="1" sqref="A386:XFD386" start="0" length="0">
      <dxf>
        <font>
          <name val="Times New Roman"/>
          <scheme val="none"/>
        </font>
        <alignment vertical="center" readingOrder="0"/>
      </dxf>
    </rfmt>
    <rcc rId="0" sId="1" dxf="1">
      <nc r="A386" t="inlineStr">
        <is>
          <t>Мероприятия в сфере профилактики правонарушений</t>
        </is>
      </nc>
      <ndxf>
        <fill>
          <patternFill patternType="solid">
            <bgColor theme="0"/>
          </patternFill>
        </fill>
        <alignment horizontal="justify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B386" t="inlineStr">
        <is>
          <t>11 1 00 80500</t>
        </is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="1" sqref="C386" start="0" length="0">
      <dxf>
        <fill>
          <patternFill patternType="solid">
            <bgColor theme="0"/>
          </patternFill>
        </fill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s="1" dxf="1">
      <nc r="D386">
        <f>D387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E386">
        <f>E387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s="1" dxf="1">
      <nc r="F386">
        <f>F387</f>
      </nc>
      <ndxf>
        <numFmt numFmtId="164" formatCode="_-* #,##0.00_р_._-;\-* #,##0.00_р_._-;_-* &quot;-&quot;??_р_._-;_-@_-"/>
        <fill>
          <patternFill patternType="solid">
            <bgColor theme="0"/>
          </patternFill>
        </fill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cc rId="4205" sId="1">
    <oc r="E388">
      <f>E389</f>
    </oc>
    <nc r="E388">
      <f>E389</f>
    </nc>
  </rcc>
  <rcc rId="4206" sId="1">
    <oc r="F388">
      <f>F389</f>
    </oc>
    <nc r="F388">
      <f>F389</f>
    </nc>
  </rcc>
  <rcc rId="4207" sId="1" odxf="1" dxf="1">
    <oc r="D385">
      <f>#REF!</f>
    </oc>
    <nc r="D385">
      <f>D386</f>
    </nc>
    <odxf>
      <font>
        <b/>
        <name val="Times New Roman"/>
        <scheme val="none"/>
      </font>
      <border outline="0">
        <left style="thin">
          <color indexed="64"/>
        </left>
      </border>
    </odxf>
    <ndxf>
      <font>
        <b val="0"/>
        <name val="Times New Roman"/>
        <scheme val="none"/>
      </font>
      <border outline="0">
        <left/>
      </border>
    </ndxf>
  </rcc>
  <rcc rId="4208" sId="1" odxf="1" dxf="1">
    <oc r="E385">
      <f>#REF!</f>
    </oc>
    <nc r="E385">
      <f>E386</f>
    </nc>
    <odxf>
      <font>
        <b/>
        <name val="Times New Roman"/>
        <scheme val="none"/>
      </font>
      <border outline="0">
        <left style="thin">
          <color indexed="64"/>
        </left>
      </border>
    </odxf>
    <ndxf>
      <font>
        <b val="0"/>
        <name val="Times New Roman"/>
        <scheme val="none"/>
      </font>
      <border outline="0">
        <left/>
      </border>
    </ndxf>
  </rcc>
  <rcc rId="4209" sId="1" odxf="1" dxf="1">
    <oc r="F385">
      <f>#REF!</f>
    </oc>
    <nc r="F385">
      <f>F386</f>
    </nc>
    <odxf>
      <font>
        <b/>
        <name val="Times New Roman"/>
        <scheme val="none"/>
      </font>
      <border outline="0">
        <left style="thin">
          <color indexed="64"/>
        </left>
      </border>
    </odxf>
    <ndxf>
      <font>
        <b val="0"/>
        <name val="Times New Roman"/>
        <scheme val="none"/>
      </font>
      <border outline="0">
        <left/>
      </border>
    </ndxf>
  </rcc>
  <rcc rId="4210" sId="1">
    <oc r="D386">
      <f>D388</f>
    </oc>
    <nc r="D386">
      <f>D387</f>
    </nc>
  </rcc>
  <rcc rId="4211" sId="1">
    <oc r="E386">
      <f>E388</f>
    </oc>
    <nc r="E386">
      <f>E387</f>
    </nc>
  </rcc>
  <rcc rId="4212" sId="1">
    <oc r="F386">
      <f>F388</f>
    </oc>
    <nc r="F386">
      <f>F387</f>
    </nc>
  </rcc>
  <rcc rId="4213" sId="1">
    <oc r="D387">
      <f>D388</f>
    </oc>
    <nc r="D387">
      <f>D388</f>
    </nc>
  </rcc>
  <rcc rId="4214" sId="1">
    <oc r="E387">
      <f>E388</f>
    </oc>
    <nc r="E387">
      <f>E388</f>
    </nc>
  </rcc>
  <rcc rId="4215" sId="1">
    <oc r="F387">
      <f>F388</f>
    </oc>
    <nc r="F387">
      <f>F388</f>
    </nc>
  </rcc>
  <rcc rId="4216" sId="1" odxf="1" dxf="1">
    <oc r="D384">
      <f>#REF!</f>
    </oc>
    <nc r="D384">
      <f>D385</f>
    </nc>
    <odxf>
      <font>
        <b/>
        <i/>
        <name val="Times New Roman"/>
        <scheme val="none"/>
      </font>
      <border outline="0">
        <left style="thin">
          <color indexed="64"/>
        </left>
      </border>
    </odxf>
    <ndxf>
      <font>
        <b val="0"/>
        <i val="0"/>
        <name val="Times New Roman"/>
        <scheme val="none"/>
      </font>
      <border outline="0">
        <left/>
      </border>
    </ndxf>
  </rcc>
  <rcc rId="4217" sId="1" odxf="1" dxf="1">
    <oc r="E384">
      <f>#REF!</f>
    </oc>
    <nc r="E384">
      <f>E385</f>
    </nc>
    <odxf>
      <font>
        <b/>
        <i/>
        <name val="Times New Roman"/>
        <scheme val="none"/>
      </font>
      <border outline="0">
        <left style="thin">
          <color indexed="64"/>
        </left>
      </border>
    </odxf>
    <ndxf>
      <font>
        <b val="0"/>
        <i val="0"/>
        <name val="Times New Roman"/>
        <scheme val="none"/>
      </font>
      <border outline="0">
        <left/>
      </border>
    </ndxf>
  </rcc>
  <rcc rId="4218" sId="1" odxf="1" dxf="1">
    <oc r="F384">
      <f>#REF!</f>
    </oc>
    <nc r="F384">
      <f>F385</f>
    </nc>
    <odxf>
      <font>
        <b/>
        <i/>
        <name val="Times New Roman"/>
        <scheme val="none"/>
      </font>
      <border outline="0">
        <left style="thin">
          <color indexed="64"/>
        </left>
      </border>
    </odxf>
    <ndxf>
      <font>
        <b val="0"/>
        <i val="0"/>
        <name val="Times New Roman"/>
        <scheme val="none"/>
      </font>
      <border outline="0">
        <left/>
      </border>
    </ndxf>
  </rcc>
  <rcv guid="{D9B90A86-BE39-4FED-8226-084809D277F3}" action="delete"/>
  <rdn rId="0" localSheetId="1" customView="1" name="Z_D9B90A86_BE39_4FED_8226_084809D277F3_.wvu.PrintArea" hidden="1" oldHidden="1">
    <formula>'программы '!$A$1:$F$902</formula>
    <oldFormula>'программы '!$A$1:$F$902</oldFormula>
  </rdn>
  <rdn rId="0" localSheetId="1" customView="1" name="Z_D9B90A86_BE39_4FED_8226_084809D277F3_.wvu.FilterData" hidden="1" oldHidden="1">
    <formula>'программы '!$C$1:$C$910</formula>
    <oldFormula>'программы '!$C$1:$C$910</oldFormula>
  </rdn>
  <rcv guid="{D9B90A86-BE39-4FED-8226-084809D277F3}" action="add"/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369:A373" start="0" length="0">
    <dxf>
      <border>
        <left style="thin">
          <color indexed="64"/>
        </left>
      </border>
    </dxf>
  </rfmt>
  <rfmt sheetId="1" sqref="A369:D373">
    <dxf>
      <border>
        <top style="thin">
          <color indexed="64"/>
        </top>
        <bottom style="thin">
          <color indexed="64"/>
        </bottom>
        <horizontal style="thin">
          <color indexed="64"/>
        </horizontal>
      </border>
    </dxf>
  </rfmt>
  <rcc rId="4221" sId="1" xfDxf="1" dxf="1">
    <oc r="A346" t="inlineStr">
      <is>
        <t xml:space="preserve">Закупка товаров, работ, услуг в целях капитального
ремонта государственного (муниципального) имущества
</t>
      </is>
    </oc>
    <nc r="A346" t="inlineStr">
      <is>
        <t xml:space="preserve">Прочая закупка товаров, работ и услуг </t>
      </is>
    </nc>
    <ndxf>
      <font>
        <name val="Times New Roman"/>
        <scheme val="none"/>
      </font>
      <fill>
        <patternFill patternType="solid">
          <bgColor theme="0"/>
        </patternFill>
      </fill>
      <alignment horizontal="justify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D9B90A86-BE39-4FED-8226-084809D277F3}" action="delete"/>
  <rdn rId="0" localSheetId="1" customView="1" name="Z_D9B90A86_BE39_4FED_8226_084809D277F3_.wvu.PrintArea" hidden="1" oldHidden="1">
    <formula>'программы '!$A$1:$F$902</formula>
    <oldFormula>'программы '!$A$1:$F$902</oldFormula>
  </rdn>
  <rdn rId="0" localSheetId="1" customView="1" name="Z_D9B90A86_BE39_4FED_8226_084809D277F3_.wvu.FilterData" hidden="1" oldHidden="1">
    <formula>'программы '!$C$1:$C$910</formula>
    <oldFormula>'программы '!$C$1:$C$910</oldFormula>
  </rdn>
  <rcv guid="{D9B90A86-BE39-4FED-8226-084809D277F3}" action="add"/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24" sId="1">
    <oc r="A308" t="inlineStr">
      <is>
        <t>Закупка энергетических ресурсов уличное освещение</t>
      </is>
    </oc>
    <nc r="A308" t="inlineStr">
      <is>
        <t xml:space="preserve">Закупка энергетических ресурсов </t>
      </is>
    </nc>
  </rcc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25" sId="1" xfDxf="1" dxf="1">
    <oc r="A440" t="inlineStr">
      <is>
        <t xml:space="preserve">Фонд оплаты труда казенных учрездений </t>
      </is>
    </oc>
    <nc r="A440" t="inlineStr">
      <is>
        <t>Фонд оплаты труда государственных (муниципальных) органов</t>
      </is>
    </nc>
    <ndxf>
      <font>
        <name val="Times New Roman"/>
        <scheme val="none"/>
      </font>
      <fill>
        <patternFill patternType="solid">
          <bgColor theme="0"/>
        </patternFill>
      </fill>
      <alignment vertical="center" wrapText="1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v guid="{D9B90A86-BE39-4FED-8226-084809D277F3}" action="delete"/>
  <rdn rId="0" localSheetId="1" customView="1" name="Z_D9B90A86_BE39_4FED_8226_084809D277F3_.wvu.PrintArea" hidden="1" oldHidden="1">
    <formula>'программы '!$A$1:$F$902</formula>
    <oldFormula>'программы '!$A$1:$F$902</oldFormula>
  </rdn>
  <rdn rId="0" localSheetId="1" customView="1" name="Z_D9B90A86_BE39_4FED_8226_084809D277F3_.wvu.FilterData" hidden="1" oldHidden="1">
    <formula>'программы '!$C$1:$C$910</formula>
    <oldFormula>'программы '!$C$1:$C$910</oldFormula>
  </rdn>
  <rcv guid="{D9B90A86-BE39-4FED-8226-084809D277F3}" action="add"/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9B90A86-BE39-4FED-8226-084809D277F3}" action="delete"/>
  <rdn rId="0" localSheetId="1" customView="1" name="Z_D9B90A86_BE39_4FED_8226_084809D277F3_.wvu.PrintArea" hidden="1" oldHidden="1">
    <formula>'программы '!$A$1:$F$902</formula>
    <oldFormula>'программы '!$A$1:$F$902</oldFormula>
  </rdn>
  <rdn rId="0" localSheetId="1" customView="1" name="Z_D9B90A86_BE39_4FED_8226_084809D277F3_.wvu.FilterData" hidden="1" oldHidden="1">
    <formula>'программы '!$C$1:$C$910</formula>
    <oldFormula>'программы '!$C$1:$C$910</oldFormula>
  </rdn>
  <rcv guid="{D9B90A86-BE39-4FED-8226-084809D277F3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23465155-9D86-4123-B8B6-780618B828F3}" name="Молчанова Елена Валерьевна" id="-1879577220" dateTime="2024-01-23T10:24:03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66"/>
  <sheetViews>
    <sheetView tabSelected="1" view="pageBreakPreview" zoomScale="90" zoomScaleNormal="100" zoomScaleSheetLayoutView="80" workbookViewId="0">
      <selection activeCell="G15" sqref="G15"/>
    </sheetView>
  </sheetViews>
  <sheetFormatPr defaultRowHeight="15"/>
  <cols>
    <col min="1" max="1" width="70.7109375" style="11" customWidth="1"/>
    <col min="2" max="2" width="15.28515625" style="151" customWidth="1"/>
    <col min="3" max="3" width="8.28515625" style="151" customWidth="1"/>
    <col min="4" max="4" width="19.5703125" style="152" customWidth="1"/>
    <col min="5" max="8" width="9.140625" style="11"/>
    <col min="9" max="16384" width="9.140625" style="1"/>
  </cols>
  <sheetData>
    <row r="1" spans="1:4" s="5" customFormat="1" ht="12.75">
      <c r="A1" s="4"/>
      <c r="B1" s="4"/>
      <c r="C1" s="4"/>
      <c r="D1" s="4"/>
    </row>
    <row r="2" spans="1:4" s="5" customFormat="1" ht="12.75">
      <c r="A2" s="6"/>
      <c r="B2" s="6"/>
      <c r="C2" s="7"/>
      <c r="D2" s="159" t="s">
        <v>549</v>
      </c>
    </row>
    <row r="3" spans="1:4" s="5" customFormat="1" ht="12.75">
      <c r="A3" s="8"/>
      <c r="B3" s="8"/>
      <c r="C3" s="7"/>
      <c r="D3" s="159" t="s">
        <v>550</v>
      </c>
    </row>
    <row r="4" spans="1:4" s="5" customFormat="1" ht="12.75">
      <c r="A4" s="8"/>
      <c r="B4" s="8"/>
      <c r="C4" s="7"/>
      <c r="D4" s="159" t="s">
        <v>551</v>
      </c>
    </row>
    <row r="5" spans="1:4" s="5" customFormat="1" ht="12.75">
      <c r="B5" s="9"/>
      <c r="C5" s="9"/>
      <c r="D5" s="159" t="s">
        <v>552</v>
      </c>
    </row>
    <row r="6" spans="1:4" s="11" customFormat="1">
      <c r="A6" s="4"/>
      <c r="B6" s="4"/>
      <c r="C6" s="4"/>
      <c r="D6" s="159" t="s">
        <v>555</v>
      </c>
    </row>
    <row r="7" spans="1:4" s="5" customFormat="1" ht="12.75">
      <c r="B7" s="9"/>
      <c r="C7" s="9"/>
      <c r="D7" s="10"/>
    </row>
    <row r="8" spans="1:4" s="5" customFormat="1" ht="14.25">
      <c r="A8" s="173" t="s">
        <v>546</v>
      </c>
      <c r="B8" s="173"/>
      <c r="C8" s="173"/>
      <c r="D8" s="173"/>
    </row>
    <row r="9" spans="1:4" s="5" customFormat="1" ht="14.25">
      <c r="A9" s="174" t="s">
        <v>547</v>
      </c>
      <c r="B9" s="174"/>
      <c r="C9" s="174"/>
      <c r="D9" s="174"/>
    </row>
    <row r="10" spans="1:4" s="5" customFormat="1" ht="14.25">
      <c r="A10" s="173" t="s">
        <v>548</v>
      </c>
      <c r="B10" s="173"/>
      <c r="C10" s="173"/>
      <c r="D10" s="173"/>
    </row>
    <row r="11" spans="1:4" s="5" customFormat="1" ht="12.75">
      <c r="A11" s="175"/>
      <c r="B11" s="175"/>
      <c r="C11" s="175"/>
      <c r="D11" s="175"/>
    </row>
    <row r="12" spans="1:4" s="5" customFormat="1" ht="12.75">
      <c r="A12" s="176" t="s">
        <v>0</v>
      </c>
      <c r="B12" s="178" t="s">
        <v>533</v>
      </c>
      <c r="C12" s="178" t="s">
        <v>1</v>
      </c>
      <c r="D12" s="156" t="s">
        <v>318</v>
      </c>
    </row>
    <row r="13" spans="1:4" s="5" customFormat="1" ht="12.75">
      <c r="A13" s="177"/>
      <c r="B13" s="179"/>
      <c r="C13" s="179"/>
      <c r="D13" s="155" t="s">
        <v>116</v>
      </c>
    </row>
    <row r="14" spans="1:4" s="5" customFormat="1" ht="12.75">
      <c r="A14" s="160" t="s">
        <v>408</v>
      </c>
      <c r="B14" s="150"/>
      <c r="C14" s="150"/>
      <c r="D14" s="12">
        <f>D36+D286+D321+D367+D378+D406+D411+D417+D423+D487+D515+D567++D591++D249+D20+D15+D596+D531+D553+D496+D501+D601+D623</f>
        <v>1821131002.5699997</v>
      </c>
    </row>
    <row r="15" spans="1:4" s="17" customFormat="1" ht="27">
      <c r="A15" s="13" t="s">
        <v>125</v>
      </c>
      <c r="B15" s="14" t="s">
        <v>122</v>
      </c>
      <c r="C15" s="15"/>
      <c r="D15" s="16">
        <f>D16</f>
        <v>199733.33</v>
      </c>
    </row>
    <row r="16" spans="1:4" s="21" customFormat="1" ht="12.75">
      <c r="A16" s="18" t="s">
        <v>127</v>
      </c>
      <c r="B16" s="19" t="s">
        <v>126</v>
      </c>
      <c r="C16" s="20"/>
      <c r="D16" s="3">
        <f>D18</f>
        <v>199733.33</v>
      </c>
    </row>
    <row r="17" spans="1:4" s="21" customFormat="1" ht="25.5">
      <c r="A17" s="22" t="s">
        <v>86</v>
      </c>
      <c r="B17" s="19" t="s">
        <v>126</v>
      </c>
      <c r="C17" s="23" t="s">
        <v>111</v>
      </c>
      <c r="D17" s="3">
        <f t="shared" ref="D17:D18" si="0">D18</f>
        <v>199733.33</v>
      </c>
    </row>
    <row r="18" spans="1:4" s="21" customFormat="1" ht="25.5">
      <c r="A18" s="22" t="s">
        <v>67</v>
      </c>
      <c r="B18" s="19" t="s">
        <v>126</v>
      </c>
      <c r="C18" s="23" t="s">
        <v>112</v>
      </c>
      <c r="D18" s="3">
        <f t="shared" si="0"/>
        <v>199733.33</v>
      </c>
    </row>
    <row r="19" spans="1:4" s="21" customFormat="1" ht="12.75">
      <c r="A19" s="22" t="s">
        <v>24</v>
      </c>
      <c r="B19" s="19" t="s">
        <v>126</v>
      </c>
      <c r="C19" s="23" t="s">
        <v>70</v>
      </c>
      <c r="D19" s="161">
        <f>362250-162516.67</f>
        <v>199733.33</v>
      </c>
    </row>
    <row r="20" spans="1:4" s="17" customFormat="1" ht="40.5">
      <c r="A20" s="13" t="s">
        <v>303</v>
      </c>
      <c r="B20" s="14" t="s">
        <v>115</v>
      </c>
      <c r="C20" s="15"/>
      <c r="D20" s="16">
        <f>D25+D21+D29+D32</f>
        <v>58338455.789999999</v>
      </c>
    </row>
    <row r="21" spans="1:4" s="17" customFormat="1" ht="12.75">
      <c r="A21" s="25" t="s">
        <v>415</v>
      </c>
      <c r="B21" s="26" t="s">
        <v>352</v>
      </c>
      <c r="C21" s="15"/>
      <c r="D21" s="3">
        <f t="shared" ref="D21:D22" si="1">D22</f>
        <v>3000000</v>
      </c>
    </row>
    <row r="22" spans="1:4" s="17" customFormat="1" ht="25.5">
      <c r="A22" s="27" t="s">
        <v>86</v>
      </c>
      <c r="B22" s="26" t="s">
        <v>352</v>
      </c>
      <c r="C22" s="23" t="s">
        <v>111</v>
      </c>
      <c r="D22" s="3">
        <f t="shared" si="1"/>
        <v>3000000</v>
      </c>
    </row>
    <row r="23" spans="1:4" s="17" customFormat="1" ht="25.5">
      <c r="A23" s="27" t="s">
        <v>67</v>
      </c>
      <c r="B23" s="26" t="s">
        <v>352</v>
      </c>
      <c r="C23" s="23" t="s">
        <v>112</v>
      </c>
      <c r="D23" s="3">
        <f>D24</f>
        <v>3000000</v>
      </c>
    </row>
    <row r="24" spans="1:4" s="17" customFormat="1" ht="12.75">
      <c r="A24" s="27" t="s">
        <v>24</v>
      </c>
      <c r="B24" s="26" t="s">
        <v>352</v>
      </c>
      <c r="C24" s="23" t="s">
        <v>70</v>
      </c>
      <c r="D24" s="3">
        <v>3000000</v>
      </c>
    </row>
    <row r="25" spans="1:4" s="21" customFormat="1" ht="25.5">
      <c r="A25" s="22" t="s">
        <v>124</v>
      </c>
      <c r="B25" s="19" t="s">
        <v>123</v>
      </c>
      <c r="C25" s="28"/>
      <c r="D25" s="3">
        <f>D27</f>
        <v>55138455.789999999</v>
      </c>
    </row>
    <row r="26" spans="1:4" s="21" customFormat="1" ht="25.5">
      <c r="A26" s="22" t="s">
        <v>86</v>
      </c>
      <c r="B26" s="19" t="s">
        <v>123</v>
      </c>
      <c r="C26" s="28" t="s">
        <v>111</v>
      </c>
      <c r="D26" s="3">
        <f t="shared" ref="D26:D27" si="2">D27</f>
        <v>55138455.789999999</v>
      </c>
    </row>
    <row r="27" spans="1:4" s="21" customFormat="1" ht="25.5">
      <c r="A27" s="22" t="s">
        <v>67</v>
      </c>
      <c r="B27" s="19" t="s">
        <v>123</v>
      </c>
      <c r="C27" s="28" t="s">
        <v>112</v>
      </c>
      <c r="D27" s="3">
        <f t="shared" si="2"/>
        <v>55138455.789999999</v>
      </c>
    </row>
    <row r="28" spans="1:4" s="21" customFormat="1" ht="12.75">
      <c r="A28" s="22" t="s">
        <v>24</v>
      </c>
      <c r="B28" s="19" t="s">
        <v>123</v>
      </c>
      <c r="C28" s="28" t="s">
        <v>70</v>
      </c>
      <c r="D28" s="24">
        <v>55138455.789999999</v>
      </c>
    </row>
    <row r="29" spans="1:4" s="21" customFormat="1" ht="12.75">
      <c r="A29" s="18" t="s">
        <v>413</v>
      </c>
      <c r="B29" s="19" t="s">
        <v>414</v>
      </c>
      <c r="C29" s="28"/>
      <c r="D29" s="24">
        <f t="shared" ref="D29:D30" si="3">D30</f>
        <v>0</v>
      </c>
    </row>
    <row r="30" spans="1:4" s="21" customFormat="1" ht="12.75">
      <c r="A30" s="18" t="s">
        <v>89</v>
      </c>
      <c r="B30" s="19" t="s">
        <v>414</v>
      </c>
      <c r="C30" s="28" t="s">
        <v>203</v>
      </c>
      <c r="D30" s="24">
        <f t="shared" si="3"/>
        <v>0</v>
      </c>
    </row>
    <row r="31" spans="1:4" s="21" customFormat="1" ht="12.75">
      <c r="A31" s="18" t="s">
        <v>184</v>
      </c>
      <c r="B31" s="19" t="s">
        <v>414</v>
      </c>
      <c r="C31" s="28" t="s">
        <v>185</v>
      </c>
      <c r="D31" s="24">
        <v>0</v>
      </c>
    </row>
    <row r="32" spans="1:4" s="21" customFormat="1" ht="12.75">
      <c r="A32" s="22" t="s">
        <v>545</v>
      </c>
      <c r="B32" s="19" t="s">
        <v>544</v>
      </c>
      <c r="C32" s="28"/>
      <c r="D32" s="3">
        <f>D34</f>
        <v>200000</v>
      </c>
    </row>
    <row r="33" spans="1:4" s="21" customFormat="1" ht="25.5">
      <c r="A33" s="22" t="s">
        <v>86</v>
      </c>
      <c r="B33" s="19" t="s">
        <v>544</v>
      </c>
      <c r="C33" s="28" t="s">
        <v>111</v>
      </c>
      <c r="D33" s="3">
        <f t="shared" ref="D33:D34" si="4">D34</f>
        <v>200000</v>
      </c>
    </row>
    <row r="34" spans="1:4" s="21" customFormat="1" ht="25.5">
      <c r="A34" s="22" t="s">
        <v>67</v>
      </c>
      <c r="B34" s="19" t="s">
        <v>544</v>
      </c>
      <c r="C34" s="28" t="s">
        <v>112</v>
      </c>
      <c r="D34" s="3">
        <f t="shared" si="4"/>
        <v>200000</v>
      </c>
    </row>
    <row r="35" spans="1:4" s="21" customFormat="1" ht="12.75">
      <c r="A35" s="22" t="s">
        <v>24</v>
      </c>
      <c r="B35" s="19" t="s">
        <v>544</v>
      </c>
      <c r="C35" s="28" t="s">
        <v>70</v>
      </c>
      <c r="D35" s="3">
        <v>200000</v>
      </c>
    </row>
    <row r="36" spans="1:4" s="17" customFormat="1" ht="27">
      <c r="A36" s="13" t="s">
        <v>239</v>
      </c>
      <c r="B36" s="14" t="s">
        <v>10</v>
      </c>
      <c r="C36" s="15"/>
      <c r="D36" s="16">
        <f>D37+D71+D171+D216+D235</f>
        <v>1395449948.5799999</v>
      </c>
    </row>
    <row r="37" spans="1:4" s="32" customFormat="1" ht="12.75">
      <c r="A37" s="29" t="s">
        <v>57</v>
      </c>
      <c r="B37" s="30" t="s">
        <v>25</v>
      </c>
      <c r="C37" s="31"/>
      <c r="D37" s="12">
        <f>D42+D46+D62+D67+D50+D58+D54+D38</f>
        <v>328298646.80000001</v>
      </c>
    </row>
    <row r="38" spans="1:4" s="5" customFormat="1" ht="38.25">
      <c r="A38" s="33" t="s">
        <v>359</v>
      </c>
      <c r="B38" s="34" t="s">
        <v>496</v>
      </c>
      <c r="C38" s="35"/>
      <c r="D38" s="3">
        <f>D39</f>
        <v>0</v>
      </c>
    </row>
    <row r="39" spans="1:4" s="5" customFormat="1" ht="25.5">
      <c r="A39" s="33" t="s">
        <v>87</v>
      </c>
      <c r="B39" s="34" t="s">
        <v>496</v>
      </c>
      <c r="C39" s="35">
        <v>600</v>
      </c>
      <c r="D39" s="3">
        <f>D40</f>
        <v>0</v>
      </c>
    </row>
    <row r="40" spans="1:4" s="5" customFormat="1" ht="12.75">
      <c r="A40" s="33" t="s">
        <v>54</v>
      </c>
      <c r="B40" s="34" t="s">
        <v>496</v>
      </c>
      <c r="C40" s="35">
        <v>610</v>
      </c>
      <c r="D40" s="3">
        <f>D41</f>
        <v>0</v>
      </c>
    </row>
    <row r="41" spans="1:4" s="5" customFormat="1" ht="12.75">
      <c r="A41" s="33" t="s">
        <v>69</v>
      </c>
      <c r="B41" s="34" t="s">
        <v>496</v>
      </c>
      <c r="C41" s="35">
        <v>612</v>
      </c>
      <c r="D41" s="3"/>
    </row>
    <row r="42" spans="1:4" s="5" customFormat="1" ht="51">
      <c r="A42" s="36" t="s">
        <v>409</v>
      </c>
      <c r="B42" s="37" t="s">
        <v>353</v>
      </c>
      <c r="C42" s="35"/>
      <c r="D42" s="3">
        <f>D44</f>
        <v>18972470.149999999</v>
      </c>
    </row>
    <row r="43" spans="1:4" s="5" customFormat="1" ht="25.5">
      <c r="A43" s="38" t="s">
        <v>87</v>
      </c>
      <c r="B43" s="37" t="s">
        <v>353</v>
      </c>
      <c r="C43" s="35">
        <v>600</v>
      </c>
      <c r="D43" s="3">
        <f t="shared" ref="D43:D44" si="5">D44</f>
        <v>18972470.149999999</v>
      </c>
    </row>
    <row r="44" spans="1:4" s="5" customFormat="1" ht="12.75">
      <c r="A44" s="38" t="s">
        <v>54</v>
      </c>
      <c r="B44" s="37" t="s">
        <v>353</v>
      </c>
      <c r="C44" s="35">
        <v>610</v>
      </c>
      <c r="D44" s="3">
        <f t="shared" si="5"/>
        <v>18972470.149999999</v>
      </c>
    </row>
    <row r="45" spans="1:4" s="5" customFormat="1" ht="12.75">
      <c r="A45" s="39" t="s">
        <v>2</v>
      </c>
      <c r="B45" s="37" t="s">
        <v>353</v>
      </c>
      <c r="C45" s="35">
        <v>612</v>
      </c>
      <c r="D45" s="3">
        <v>18972470.149999999</v>
      </c>
    </row>
    <row r="46" spans="1:4" s="5" customFormat="1" ht="12.75">
      <c r="A46" s="40" t="s">
        <v>55</v>
      </c>
      <c r="B46" s="37" t="s">
        <v>354</v>
      </c>
      <c r="C46" s="35"/>
      <c r="D46" s="3">
        <f>D48</f>
        <v>185204583</v>
      </c>
    </row>
    <row r="47" spans="1:4" s="5" customFormat="1" ht="25.5">
      <c r="A47" s="38" t="s">
        <v>87</v>
      </c>
      <c r="B47" s="37" t="s">
        <v>354</v>
      </c>
      <c r="C47" s="35">
        <v>600</v>
      </c>
      <c r="D47" s="3">
        <f t="shared" ref="D47:D48" si="6">D48</f>
        <v>185204583</v>
      </c>
    </row>
    <row r="48" spans="1:4" s="5" customFormat="1" ht="12.75">
      <c r="A48" s="38" t="s">
        <v>54</v>
      </c>
      <c r="B48" s="37" t="s">
        <v>354</v>
      </c>
      <c r="C48" s="35">
        <v>610</v>
      </c>
      <c r="D48" s="3">
        <f t="shared" si="6"/>
        <v>185204583</v>
      </c>
    </row>
    <row r="49" spans="1:4" s="5" customFormat="1" ht="38.25">
      <c r="A49" s="38" t="s">
        <v>4</v>
      </c>
      <c r="B49" s="37" t="s">
        <v>354</v>
      </c>
      <c r="C49" s="35">
        <v>611</v>
      </c>
      <c r="D49" s="3">
        <v>185204583</v>
      </c>
    </row>
    <row r="50" spans="1:4" s="5" customFormat="1" ht="38.25">
      <c r="A50" s="40" t="s">
        <v>412</v>
      </c>
      <c r="B50" s="37" t="s">
        <v>356</v>
      </c>
      <c r="C50" s="35"/>
      <c r="D50" s="3">
        <f>D52</f>
        <v>8540315.3499999996</v>
      </c>
    </row>
    <row r="51" spans="1:4" s="5" customFormat="1" ht="25.5">
      <c r="A51" s="38" t="s">
        <v>87</v>
      </c>
      <c r="B51" s="37" t="s">
        <v>356</v>
      </c>
      <c r="C51" s="20">
        <v>600</v>
      </c>
      <c r="D51" s="3">
        <f t="shared" ref="D51:D52" si="7">D52</f>
        <v>8540315.3499999996</v>
      </c>
    </row>
    <row r="52" spans="1:4" s="5" customFormat="1" ht="12.75">
      <c r="A52" s="40" t="s">
        <v>54</v>
      </c>
      <c r="B52" s="37" t="s">
        <v>356</v>
      </c>
      <c r="C52" s="20">
        <v>610</v>
      </c>
      <c r="D52" s="3">
        <f t="shared" si="7"/>
        <v>8540315.3499999996</v>
      </c>
    </row>
    <row r="53" spans="1:4" s="5" customFormat="1" ht="12.75">
      <c r="A53" s="40" t="s">
        <v>69</v>
      </c>
      <c r="B53" s="37" t="s">
        <v>356</v>
      </c>
      <c r="C53" s="20">
        <v>612</v>
      </c>
      <c r="D53" s="3">
        <v>8540315.3499999996</v>
      </c>
    </row>
    <row r="54" spans="1:4" s="5" customFormat="1" ht="127.5">
      <c r="A54" s="40" t="s">
        <v>461</v>
      </c>
      <c r="B54" s="37" t="s">
        <v>460</v>
      </c>
      <c r="C54" s="20"/>
      <c r="D54" s="3">
        <f>D55</f>
        <v>1561100</v>
      </c>
    </row>
    <row r="55" spans="1:4" s="5" customFormat="1" ht="25.5">
      <c r="A55" s="40" t="s">
        <v>87</v>
      </c>
      <c r="B55" s="37" t="s">
        <v>460</v>
      </c>
      <c r="C55" s="20">
        <v>600</v>
      </c>
      <c r="D55" s="3">
        <f>D56</f>
        <v>1561100</v>
      </c>
    </row>
    <row r="56" spans="1:4" s="5" customFormat="1" ht="12.75">
      <c r="A56" s="40" t="s">
        <v>54</v>
      </c>
      <c r="B56" s="37" t="s">
        <v>460</v>
      </c>
      <c r="C56" s="20">
        <v>610</v>
      </c>
      <c r="D56" s="3">
        <f>D57</f>
        <v>1561100</v>
      </c>
    </row>
    <row r="57" spans="1:4" s="5" customFormat="1" ht="12.75">
      <c r="A57" s="40" t="s">
        <v>69</v>
      </c>
      <c r="B57" s="37" t="s">
        <v>460</v>
      </c>
      <c r="C57" s="20">
        <v>612</v>
      </c>
      <c r="D57" s="3">
        <v>1561100</v>
      </c>
    </row>
    <row r="58" spans="1:4" s="5" customFormat="1" ht="25.5">
      <c r="A58" s="40" t="s">
        <v>442</v>
      </c>
      <c r="B58" s="37" t="s">
        <v>443</v>
      </c>
      <c r="C58" s="20"/>
      <c r="D58" s="3">
        <f>D59</f>
        <v>2198963.88</v>
      </c>
    </row>
    <row r="59" spans="1:4" s="5" customFormat="1" ht="25.5">
      <c r="A59" s="40" t="s">
        <v>87</v>
      </c>
      <c r="B59" s="37" t="s">
        <v>443</v>
      </c>
      <c r="C59" s="20">
        <v>600</v>
      </c>
      <c r="D59" s="3">
        <f>D60</f>
        <v>2198963.88</v>
      </c>
    </row>
    <row r="60" spans="1:4" s="5" customFormat="1" ht="12.75">
      <c r="A60" s="40" t="s">
        <v>54</v>
      </c>
      <c r="B60" s="37" t="s">
        <v>443</v>
      </c>
      <c r="C60" s="20">
        <v>610</v>
      </c>
      <c r="D60" s="3">
        <f>D61</f>
        <v>2198963.88</v>
      </c>
    </row>
    <row r="61" spans="1:4" s="5" customFormat="1" ht="12.75">
      <c r="A61" s="40" t="s">
        <v>2</v>
      </c>
      <c r="B61" s="37" t="s">
        <v>443</v>
      </c>
      <c r="C61" s="20">
        <v>612</v>
      </c>
      <c r="D61" s="3">
        <v>2198963.88</v>
      </c>
    </row>
    <row r="62" spans="1:4" s="5" customFormat="1" ht="12.75">
      <c r="A62" s="38" t="s">
        <v>56</v>
      </c>
      <c r="B62" s="34" t="s">
        <v>26</v>
      </c>
      <c r="C62" s="35"/>
      <c r="D62" s="3">
        <f>D64</f>
        <v>110683930.42</v>
      </c>
    </row>
    <row r="63" spans="1:4" s="5" customFormat="1" ht="25.5">
      <c r="A63" s="38" t="s">
        <v>87</v>
      </c>
      <c r="B63" s="34" t="s">
        <v>26</v>
      </c>
      <c r="C63" s="35">
        <v>600</v>
      </c>
      <c r="D63" s="3">
        <f>D64</f>
        <v>110683930.42</v>
      </c>
    </row>
    <row r="64" spans="1:4" s="5" customFormat="1" ht="12.75">
      <c r="A64" s="38" t="s">
        <v>54</v>
      </c>
      <c r="B64" s="34" t="s">
        <v>26</v>
      </c>
      <c r="C64" s="35">
        <v>610</v>
      </c>
      <c r="D64" s="3">
        <f>D65+D66</f>
        <v>110683930.42</v>
      </c>
    </row>
    <row r="65" spans="1:4" s="5" customFormat="1" ht="38.25">
      <c r="A65" s="38" t="s">
        <v>4</v>
      </c>
      <c r="B65" s="34" t="s">
        <v>26</v>
      </c>
      <c r="C65" s="35">
        <v>611</v>
      </c>
      <c r="D65" s="3">
        <f>106096804.34-80000</f>
        <v>106016804.34</v>
      </c>
    </row>
    <row r="66" spans="1:4" s="5" customFormat="1" ht="12.75">
      <c r="A66" s="39" t="s">
        <v>2</v>
      </c>
      <c r="B66" s="34" t="s">
        <v>26</v>
      </c>
      <c r="C66" s="35">
        <v>612</v>
      </c>
      <c r="D66" s="3">
        <v>4667126.08</v>
      </c>
    </row>
    <row r="67" spans="1:4" s="5" customFormat="1" ht="12.75">
      <c r="A67" s="41" t="s">
        <v>58</v>
      </c>
      <c r="B67" s="34" t="s">
        <v>121</v>
      </c>
      <c r="C67" s="37"/>
      <c r="D67" s="3">
        <f>D69</f>
        <v>1137284</v>
      </c>
    </row>
    <row r="68" spans="1:4" s="5" customFormat="1" ht="25.5">
      <c r="A68" s="38" t="s">
        <v>87</v>
      </c>
      <c r="B68" s="34" t="s">
        <v>121</v>
      </c>
      <c r="C68" s="35">
        <v>600</v>
      </c>
      <c r="D68" s="3">
        <f t="shared" ref="D68:D69" si="8">D69</f>
        <v>1137284</v>
      </c>
    </row>
    <row r="69" spans="1:4" s="5" customFormat="1" ht="12.75">
      <c r="A69" s="38" t="s">
        <v>54</v>
      </c>
      <c r="B69" s="34" t="s">
        <v>121</v>
      </c>
      <c r="C69" s="35">
        <v>610</v>
      </c>
      <c r="D69" s="3">
        <f t="shared" si="8"/>
        <v>1137284</v>
      </c>
    </row>
    <row r="70" spans="1:4" s="5" customFormat="1" ht="12.75">
      <c r="A70" s="39" t="s">
        <v>2</v>
      </c>
      <c r="B70" s="34" t="s">
        <v>121</v>
      </c>
      <c r="C70" s="35">
        <v>612</v>
      </c>
      <c r="D70" s="3">
        <v>1137284</v>
      </c>
    </row>
    <row r="71" spans="1:4" s="32" customFormat="1" ht="12.75">
      <c r="A71" s="42" t="s">
        <v>59</v>
      </c>
      <c r="B71" s="30" t="s">
        <v>27</v>
      </c>
      <c r="C71" s="31"/>
      <c r="D71" s="12">
        <f>D88+D92+D108+D113+D163+D167+D128+D136+D149+D140+D132+D100+D120+D158+D96+D76+D104+D80+D72+D84+D124</f>
        <v>899532626.42999995</v>
      </c>
    </row>
    <row r="72" spans="1:4" s="32" customFormat="1" ht="89.25">
      <c r="A72" s="36" t="s">
        <v>536</v>
      </c>
      <c r="B72" s="51" t="s">
        <v>537</v>
      </c>
      <c r="C72" s="35"/>
      <c r="D72" s="3">
        <f t="shared" ref="D72:D73" si="9">D73</f>
        <v>422200</v>
      </c>
    </row>
    <row r="73" spans="1:4" s="32" customFormat="1" ht="25.5">
      <c r="A73" s="36" t="s">
        <v>87</v>
      </c>
      <c r="B73" s="51" t="s">
        <v>537</v>
      </c>
      <c r="C73" s="35">
        <v>600</v>
      </c>
      <c r="D73" s="3">
        <f t="shared" si="9"/>
        <v>422200</v>
      </c>
    </row>
    <row r="74" spans="1:4" s="32" customFormat="1" ht="12.75">
      <c r="A74" s="36" t="s">
        <v>54</v>
      </c>
      <c r="B74" s="51" t="s">
        <v>537</v>
      </c>
      <c r="C74" s="35">
        <v>610</v>
      </c>
      <c r="D74" s="3">
        <f>D75</f>
        <v>422200</v>
      </c>
    </row>
    <row r="75" spans="1:4" s="32" customFormat="1" ht="12.75">
      <c r="A75" s="36" t="s">
        <v>69</v>
      </c>
      <c r="B75" s="51" t="s">
        <v>537</v>
      </c>
      <c r="C75" s="35">
        <v>612</v>
      </c>
      <c r="D75" s="3">
        <v>422200</v>
      </c>
    </row>
    <row r="76" spans="1:4" s="32" customFormat="1" ht="63.75">
      <c r="A76" s="44" t="s">
        <v>410</v>
      </c>
      <c r="B76" s="45" t="s">
        <v>444</v>
      </c>
      <c r="C76" s="43"/>
      <c r="D76" s="3">
        <f t="shared" ref="D76:D77" si="10">D77</f>
        <v>54754456.219999999</v>
      </c>
    </row>
    <row r="77" spans="1:4" s="32" customFormat="1" ht="25.5">
      <c r="A77" s="44" t="s">
        <v>87</v>
      </c>
      <c r="B77" s="45" t="s">
        <v>444</v>
      </c>
      <c r="C77" s="43">
        <v>600</v>
      </c>
      <c r="D77" s="3">
        <f t="shared" si="10"/>
        <v>54754456.219999999</v>
      </c>
    </row>
    <row r="78" spans="1:4" s="32" customFormat="1" ht="12.75">
      <c r="A78" s="44" t="s">
        <v>54</v>
      </c>
      <c r="B78" s="45" t="s">
        <v>444</v>
      </c>
      <c r="C78" s="43">
        <v>610</v>
      </c>
      <c r="D78" s="3">
        <f>D79</f>
        <v>54754456.219999999</v>
      </c>
    </row>
    <row r="79" spans="1:4" s="32" customFormat="1" ht="12.75">
      <c r="A79" s="44" t="s">
        <v>69</v>
      </c>
      <c r="B79" s="45" t="s">
        <v>444</v>
      </c>
      <c r="C79" s="43">
        <v>612</v>
      </c>
      <c r="D79" s="3">
        <v>54754456.219999999</v>
      </c>
    </row>
    <row r="80" spans="1:4" s="32" customFormat="1" ht="38.25">
      <c r="A80" s="44" t="s">
        <v>526</v>
      </c>
      <c r="B80" s="45" t="s">
        <v>525</v>
      </c>
      <c r="C80" s="43"/>
      <c r="D80" s="3">
        <f>D81</f>
        <v>0</v>
      </c>
    </row>
    <row r="81" spans="1:4" s="32" customFormat="1" ht="25.5">
      <c r="A81" s="44" t="s">
        <v>86</v>
      </c>
      <c r="B81" s="45" t="s">
        <v>525</v>
      </c>
      <c r="C81" s="43">
        <v>200</v>
      </c>
      <c r="D81" s="3">
        <f>D82</f>
        <v>0</v>
      </c>
    </row>
    <row r="82" spans="1:4" s="32" customFormat="1" ht="25.5">
      <c r="A82" s="44" t="s">
        <v>67</v>
      </c>
      <c r="B82" s="45" t="s">
        <v>525</v>
      </c>
      <c r="C82" s="43">
        <v>240</v>
      </c>
      <c r="D82" s="3">
        <f>D83</f>
        <v>0</v>
      </c>
    </row>
    <row r="83" spans="1:4" s="32" customFormat="1" ht="25.5">
      <c r="A83" s="46" t="s">
        <v>382</v>
      </c>
      <c r="B83" s="45" t="s">
        <v>525</v>
      </c>
      <c r="C83" s="43">
        <v>243</v>
      </c>
      <c r="D83" s="3"/>
    </row>
    <row r="84" spans="1:4" s="32" customFormat="1" ht="25.5">
      <c r="A84" s="46" t="s">
        <v>280</v>
      </c>
      <c r="B84" s="45" t="s">
        <v>539</v>
      </c>
      <c r="C84" s="43"/>
      <c r="D84" s="3">
        <f t="shared" ref="D84:D85" si="11">D85</f>
        <v>63269824.100000001</v>
      </c>
    </row>
    <row r="85" spans="1:4" s="32" customFormat="1" ht="12.75">
      <c r="A85" s="46" t="s">
        <v>84</v>
      </c>
      <c r="B85" s="45" t="s">
        <v>539</v>
      </c>
      <c r="C85" s="43">
        <v>400</v>
      </c>
      <c r="D85" s="3">
        <f t="shared" si="11"/>
        <v>63269824.100000001</v>
      </c>
    </row>
    <row r="86" spans="1:4" s="32" customFormat="1" ht="12.75">
      <c r="A86" s="46" t="s">
        <v>85</v>
      </c>
      <c r="B86" s="45" t="s">
        <v>539</v>
      </c>
      <c r="C86" s="43">
        <v>410</v>
      </c>
      <c r="D86" s="3">
        <f>D87</f>
        <v>63269824.100000001</v>
      </c>
    </row>
    <row r="87" spans="1:4" s="32" customFormat="1" ht="25.5">
      <c r="A87" s="46" t="s">
        <v>109</v>
      </c>
      <c r="B87" s="45" t="s">
        <v>539</v>
      </c>
      <c r="C87" s="43">
        <v>414</v>
      </c>
      <c r="D87" s="3">
        <v>63269824.100000001</v>
      </c>
    </row>
    <row r="88" spans="1:4" s="5" customFormat="1" ht="51">
      <c r="A88" s="36" t="s">
        <v>409</v>
      </c>
      <c r="B88" s="26" t="s">
        <v>357</v>
      </c>
      <c r="C88" s="35"/>
      <c r="D88" s="3">
        <f>D90</f>
        <v>37805342.939999998</v>
      </c>
    </row>
    <row r="89" spans="1:4" s="5" customFormat="1" ht="25.5">
      <c r="A89" s="38" t="s">
        <v>87</v>
      </c>
      <c r="B89" s="26" t="s">
        <v>357</v>
      </c>
      <c r="C89" s="35">
        <v>600</v>
      </c>
      <c r="D89" s="3">
        <f t="shared" ref="D89:D90" si="12">D90</f>
        <v>37805342.939999998</v>
      </c>
    </row>
    <row r="90" spans="1:4" s="5" customFormat="1" ht="12.75">
      <c r="A90" s="38" t="s">
        <v>54</v>
      </c>
      <c r="B90" s="26" t="s">
        <v>357</v>
      </c>
      <c r="C90" s="35">
        <v>610</v>
      </c>
      <c r="D90" s="3">
        <f t="shared" si="12"/>
        <v>37805342.939999998</v>
      </c>
    </row>
    <row r="91" spans="1:4" s="5" customFormat="1" ht="12.75">
      <c r="A91" s="38" t="s">
        <v>2</v>
      </c>
      <c r="B91" s="26" t="s">
        <v>357</v>
      </c>
      <c r="C91" s="35">
        <v>612</v>
      </c>
      <c r="D91" s="3">
        <v>37805342.939999998</v>
      </c>
    </row>
    <row r="92" spans="1:4" s="5" customFormat="1" ht="12.75">
      <c r="A92" s="40" t="s">
        <v>55</v>
      </c>
      <c r="B92" s="37" t="s">
        <v>358</v>
      </c>
      <c r="C92" s="35"/>
      <c r="D92" s="3">
        <f>D95</f>
        <v>476501319</v>
      </c>
    </row>
    <row r="93" spans="1:4" s="5" customFormat="1" ht="25.5">
      <c r="A93" s="38" t="s">
        <v>87</v>
      </c>
      <c r="B93" s="37" t="s">
        <v>358</v>
      </c>
      <c r="C93" s="35">
        <v>600</v>
      </c>
      <c r="D93" s="3">
        <f t="shared" ref="D93:D94" si="13">D94</f>
        <v>476501319</v>
      </c>
    </row>
    <row r="94" spans="1:4" s="5" customFormat="1" ht="12.75">
      <c r="A94" s="38" t="s">
        <v>54</v>
      </c>
      <c r="B94" s="37" t="s">
        <v>358</v>
      </c>
      <c r="C94" s="35">
        <v>610</v>
      </c>
      <c r="D94" s="3">
        <f t="shared" si="13"/>
        <v>476501319</v>
      </c>
    </row>
    <row r="95" spans="1:4" s="5" customFormat="1" ht="38.25">
      <c r="A95" s="38" t="s">
        <v>4</v>
      </c>
      <c r="B95" s="37" t="s">
        <v>358</v>
      </c>
      <c r="C95" s="35">
        <v>611</v>
      </c>
      <c r="D95" s="3">
        <v>476501319</v>
      </c>
    </row>
    <row r="96" spans="1:4" s="5" customFormat="1" ht="127.5">
      <c r="A96" s="47" t="s">
        <v>461</v>
      </c>
      <c r="B96" s="37" t="s">
        <v>462</v>
      </c>
      <c r="C96" s="35"/>
      <c r="D96" s="3">
        <f>D97</f>
        <v>1274326.05</v>
      </c>
    </row>
    <row r="97" spans="1:4" s="5" customFormat="1" ht="25.5">
      <c r="A97" s="38" t="s">
        <v>87</v>
      </c>
      <c r="B97" s="37" t="s">
        <v>462</v>
      </c>
      <c r="C97" s="35">
        <v>600</v>
      </c>
      <c r="D97" s="3">
        <f>D98</f>
        <v>1274326.05</v>
      </c>
    </row>
    <row r="98" spans="1:4" s="5" customFormat="1" ht="12.75">
      <c r="A98" s="38" t="s">
        <v>463</v>
      </c>
      <c r="B98" s="37" t="s">
        <v>462</v>
      </c>
      <c r="C98" s="35">
        <v>610</v>
      </c>
      <c r="D98" s="3">
        <f>D99</f>
        <v>1274326.05</v>
      </c>
    </row>
    <row r="99" spans="1:4" s="5" customFormat="1" ht="12.75">
      <c r="A99" s="38" t="s">
        <v>69</v>
      </c>
      <c r="B99" s="37" t="s">
        <v>462</v>
      </c>
      <c r="C99" s="35">
        <v>612</v>
      </c>
      <c r="D99" s="3">
        <v>1274326.05</v>
      </c>
    </row>
    <row r="100" spans="1:4" s="5" customFormat="1" ht="38.25">
      <c r="A100" s="38" t="s">
        <v>445</v>
      </c>
      <c r="B100" s="37" t="s">
        <v>446</v>
      </c>
      <c r="C100" s="35"/>
      <c r="D100" s="3">
        <f>D101</f>
        <v>7720306.2000000002</v>
      </c>
    </row>
    <row r="101" spans="1:4" s="5" customFormat="1" ht="25.5">
      <c r="A101" s="38" t="s">
        <v>87</v>
      </c>
      <c r="B101" s="37" t="s">
        <v>446</v>
      </c>
      <c r="C101" s="35">
        <v>600</v>
      </c>
      <c r="D101" s="3">
        <f>D102</f>
        <v>7720306.2000000002</v>
      </c>
    </row>
    <row r="102" spans="1:4" s="5" customFormat="1" ht="12.75">
      <c r="A102" s="38" t="s">
        <v>54</v>
      </c>
      <c r="B102" s="37" t="s">
        <v>446</v>
      </c>
      <c r="C102" s="35">
        <v>610</v>
      </c>
      <c r="D102" s="3">
        <f>D103</f>
        <v>7720306.2000000002</v>
      </c>
    </row>
    <row r="103" spans="1:4" s="5" customFormat="1" ht="12.75">
      <c r="A103" s="38" t="s">
        <v>2</v>
      </c>
      <c r="B103" s="37" t="s">
        <v>446</v>
      </c>
      <c r="C103" s="35">
        <v>612</v>
      </c>
      <c r="D103" s="3">
        <f>7720306.2</f>
        <v>7720306.2000000002</v>
      </c>
    </row>
    <row r="104" spans="1:4" s="5" customFormat="1" ht="51">
      <c r="A104" s="47" t="s">
        <v>498</v>
      </c>
      <c r="B104" s="37" t="s">
        <v>497</v>
      </c>
      <c r="C104" s="35"/>
      <c r="D104" s="3">
        <f t="shared" ref="D104:D105" si="14">D105</f>
        <v>0</v>
      </c>
    </row>
    <row r="105" spans="1:4" s="5" customFormat="1" ht="25.5">
      <c r="A105" s="38" t="s">
        <v>87</v>
      </c>
      <c r="B105" s="37" t="s">
        <v>497</v>
      </c>
      <c r="C105" s="48">
        <v>600</v>
      </c>
      <c r="D105" s="3">
        <f t="shared" si="14"/>
        <v>0</v>
      </c>
    </row>
    <row r="106" spans="1:4" s="5" customFormat="1" ht="12.75">
      <c r="A106" s="38" t="s">
        <v>54</v>
      </c>
      <c r="B106" s="37" t="s">
        <v>497</v>
      </c>
      <c r="C106" s="48">
        <v>610</v>
      </c>
      <c r="D106" s="3">
        <f>D107</f>
        <v>0</v>
      </c>
    </row>
    <row r="107" spans="1:4" s="5" customFormat="1" ht="12.75">
      <c r="A107" s="38" t="s">
        <v>2</v>
      </c>
      <c r="B107" s="37" t="s">
        <v>497</v>
      </c>
      <c r="C107" s="48">
        <v>612</v>
      </c>
      <c r="D107" s="3"/>
    </row>
    <row r="108" spans="1:4" s="5" customFormat="1" ht="12.75">
      <c r="A108" s="40" t="s">
        <v>56</v>
      </c>
      <c r="B108" s="34" t="s">
        <v>28</v>
      </c>
      <c r="C108" s="48"/>
      <c r="D108" s="3">
        <f>D110</f>
        <v>219530531.09999999</v>
      </c>
    </row>
    <row r="109" spans="1:4" s="5" customFormat="1" ht="25.5">
      <c r="A109" s="38" t="s">
        <v>87</v>
      </c>
      <c r="B109" s="34" t="s">
        <v>28</v>
      </c>
      <c r="C109" s="48">
        <v>600</v>
      </c>
      <c r="D109" s="3">
        <f>D110</f>
        <v>219530531.09999999</v>
      </c>
    </row>
    <row r="110" spans="1:4" s="5" customFormat="1" ht="12.75">
      <c r="A110" s="38" t="s">
        <v>54</v>
      </c>
      <c r="B110" s="34" t="s">
        <v>28</v>
      </c>
      <c r="C110" s="48">
        <v>610</v>
      </c>
      <c r="D110" s="3">
        <f>D111+D112</f>
        <v>219530531.09999999</v>
      </c>
    </row>
    <row r="111" spans="1:4" s="5" customFormat="1" ht="38.25">
      <c r="A111" s="38" t="s">
        <v>4</v>
      </c>
      <c r="B111" s="34" t="s">
        <v>28</v>
      </c>
      <c r="C111" s="48">
        <v>611</v>
      </c>
      <c r="D111" s="3">
        <v>219231250.41999999</v>
      </c>
    </row>
    <row r="112" spans="1:4" s="5" customFormat="1" ht="12.75">
      <c r="A112" s="38" t="s">
        <v>2</v>
      </c>
      <c r="B112" s="34" t="s">
        <v>28</v>
      </c>
      <c r="C112" s="48">
        <v>612</v>
      </c>
      <c r="D112" s="3">
        <v>299280.68</v>
      </c>
    </row>
    <row r="113" spans="1:4" s="5" customFormat="1" ht="12.75">
      <c r="A113" s="40" t="s">
        <v>58</v>
      </c>
      <c r="B113" s="34" t="s">
        <v>120</v>
      </c>
      <c r="C113" s="49"/>
      <c r="D113" s="3">
        <f>D118+D114</f>
        <v>5023559.25</v>
      </c>
    </row>
    <row r="114" spans="1:4" s="5" customFormat="1" ht="25.5">
      <c r="A114" s="18" t="s">
        <v>86</v>
      </c>
      <c r="B114" s="34" t="s">
        <v>120</v>
      </c>
      <c r="C114" s="49">
        <v>200</v>
      </c>
      <c r="D114" s="3">
        <f>D115</f>
        <v>0</v>
      </c>
    </row>
    <row r="115" spans="1:4" s="5" customFormat="1" ht="25.5">
      <c r="A115" s="22" t="s">
        <v>67</v>
      </c>
      <c r="B115" s="34" t="s">
        <v>120</v>
      </c>
      <c r="C115" s="49">
        <v>240</v>
      </c>
      <c r="D115" s="3">
        <f>D116</f>
        <v>0</v>
      </c>
    </row>
    <row r="116" spans="1:4" s="5" customFormat="1" ht="12.75">
      <c r="A116" s="22" t="s">
        <v>24</v>
      </c>
      <c r="B116" s="34" t="s">
        <v>120</v>
      </c>
      <c r="C116" s="49">
        <v>244</v>
      </c>
      <c r="D116" s="3">
        <f>253536-253536</f>
        <v>0</v>
      </c>
    </row>
    <row r="117" spans="1:4" s="5" customFormat="1" ht="25.5">
      <c r="A117" s="38" t="s">
        <v>87</v>
      </c>
      <c r="B117" s="34" t="s">
        <v>120</v>
      </c>
      <c r="C117" s="48">
        <v>600</v>
      </c>
      <c r="D117" s="3">
        <f t="shared" ref="D117:D118" si="15">D118</f>
        <v>5023559.25</v>
      </c>
    </row>
    <row r="118" spans="1:4" s="5" customFormat="1" ht="12.75">
      <c r="A118" s="38" t="s">
        <v>54</v>
      </c>
      <c r="B118" s="34" t="s">
        <v>120</v>
      </c>
      <c r="C118" s="48">
        <v>610</v>
      </c>
      <c r="D118" s="3">
        <f t="shared" si="15"/>
        <v>5023559.25</v>
      </c>
    </row>
    <row r="119" spans="1:4" s="5" customFormat="1" ht="12.75">
      <c r="A119" s="39" t="s">
        <v>2</v>
      </c>
      <c r="B119" s="34" t="s">
        <v>120</v>
      </c>
      <c r="C119" s="48">
        <v>612</v>
      </c>
      <c r="D119" s="3">
        <v>5023559.25</v>
      </c>
    </row>
    <row r="120" spans="1:4" s="5" customFormat="1" ht="38.25">
      <c r="A120" s="50" t="s">
        <v>447</v>
      </c>
      <c r="B120" s="51" t="s">
        <v>448</v>
      </c>
      <c r="C120" s="52"/>
      <c r="D120" s="3">
        <f>D121</f>
        <v>2948321.71</v>
      </c>
    </row>
    <row r="121" spans="1:4" s="5" customFormat="1" ht="25.5">
      <c r="A121" s="50" t="s">
        <v>87</v>
      </c>
      <c r="B121" s="51" t="s">
        <v>448</v>
      </c>
      <c r="C121" s="52">
        <v>600</v>
      </c>
      <c r="D121" s="3">
        <f>D122</f>
        <v>2948321.71</v>
      </c>
    </row>
    <row r="122" spans="1:4" s="5" customFormat="1" ht="12.75">
      <c r="A122" s="50" t="s">
        <v>54</v>
      </c>
      <c r="B122" s="51" t="s">
        <v>448</v>
      </c>
      <c r="C122" s="52">
        <v>610</v>
      </c>
      <c r="D122" s="3">
        <f>D123</f>
        <v>2948321.71</v>
      </c>
    </row>
    <row r="123" spans="1:4" s="5" customFormat="1" ht="12.75">
      <c r="A123" s="50" t="s">
        <v>69</v>
      </c>
      <c r="B123" s="51" t="s">
        <v>448</v>
      </c>
      <c r="C123" s="52">
        <v>612</v>
      </c>
      <c r="D123" s="3">
        <v>2948321.71</v>
      </c>
    </row>
    <row r="124" spans="1:4" s="5" customFormat="1" ht="25.5">
      <c r="A124" s="62" t="s">
        <v>543</v>
      </c>
      <c r="B124" s="54" t="s">
        <v>542</v>
      </c>
      <c r="C124" s="55"/>
      <c r="D124" s="3">
        <f>D125</f>
        <v>0</v>
      </c>
    </row>
    <row r="125" spans="1:4" s="5" customFormat="1" ht="12.75">
      <c r="A125" s="53" t="s">
        <v>84</v>
      </c>
      <c r="B125" s="54" t="s">
        <v>542</v>
      </c>
      <c r="C125" s="55">
        <v>400</v>
      </c>
      <c r="D125" s="3">
        <f>D126</f>
        <v>0</v>
      </c>
    </row>
    <row r="126" spans="1:4" s="5" customFormat="1" ht="12.75">
      <c r="A126" s="53" t="s">
        <v>85</v>
      </c>
      <c r="B126" s="54" t="s">
        <v>542</v>
      </c>
      <c r="C126" s="55">
        <v>410</v>
      </c>
      <c r="D126" s="3">
        <f>D127</f>
        <v>0</v>
      </c>
    </row>
    <row r="127" spans="1:4" s="5" customFormat="1" ht="25.5">
      <c r="A127" s="53" t="s">
        <v>109</v>
      </c>
      <c r="B127" s="54" t="s">
        <v>542</v>
      </c>
      <c r="C127" s="55">
        <v>414</v>
      </c>
      <c r="D127" s="3">
        <v>0</v>
      </c>
    </row>
    <row r="128" spans="1:4" s="5" customFormat="1" ht="51">
      <c r="A128" s="56" t="s">
        <v>258</v>
      </c>
      <c r="B128" s="37" t="s">
        <v>261</v>
      </c>
      <c r="C128" s="20"/>
      <c r="D128" s="3">
        <f>D130</f>
        <v>0</v>
      </c>
    </row>
    <row r="129" spans="1:4" s="5" customFormat="1" ht="25.5">
      <c r="A129" s="18" t="s">
        <v>87</v>
      </c>
      <c r="B129" s="37" t="s">
        <v>261</v>
      </c>
      <c r="C129" s="20">
        <v>600</v>
      </c>
      <c r="D129" s="3">
        <f t="shared" ref="D129:D130" si="16">D130</f>
        <v>0</v>
      </c>
    </row>
    <row r="130" spans="1:4" s="5" customFormat="1" ht="12.75">
      <c r="A130" s="18" t="s">
        <v>54</v>
      </c>
      <c r="B130" s="37" t="s">
        <v>261</v>
      </c>
      <c r="C130" s="20">
        <v>610</v>
      </c>
      <c r="D130" s="3">
        <f t="shared" si="16"/>
        <v>0</v>
      </c>
    </row>
    <row r="131" spans="1:4" s="5" customFormat="1" ht="12.75">
      <c r="A131" s="18" t="s">
        <v>69</v>
      </c>
      <c r="B131" s="37" t="s">
        <v>261</v>
      </c>
      <c r="C131" s="20">
        <v>612</v>
      </c>
      <c r="D131" s="3">
        <f>1057252-15800-1041452</f>
        <v>0</v>
      </c>
    </row>
    <row r="132" spans="1:4" s="5" customFormat="1" ht="38.25">
      <c r="A132" s="36" t="s">
        <v>359</v>
      </c>
      <c r="B132" s="26" t="s">
        <v>360</v>
      </c>
      <c r="C132" s="23"/>
      <c r="D132" s="24">
        <f>D134</f>
        <v>2523391.11</v>
      </c>
    </row>
    <row r="133" spans="1:4" s="5" customFormat="1" ht="25.5">
      <c r="A133" s="40" t="s">
        <v>87</v>
      </c>
      <c r="B133" s="26" t="s">
        <v>360</v>
      </c>
      <c r="C133" s="23" t="s">
        <v>257</v>
      </c>
      <c r="D133" s="24">
        <f t="shared" ref="D133:D134" si="17">D134</f>
        <v>2523391.11</v>
      </c>
    </row>
    <row r="134" spans="1:4" s="5" customFormat="1" ht="12.75">
      <c r="A134" s="40" t="s">
        <v>54</v>
      </c>
      <c r="B134" s="26" t="s">
        <v>360</v>
      </c>
      <c r="C134" s="23" t="s">
        <v>361</v>
      </c>
      <c r="D134" s="24">
        <f t="shared" si="17"/>
        <v>2523391.11</v>
      </c>
    </row>
    <row r="135" spans="1:4" s="5" customFormat="1" ht="12.75">
      <c r="A135" s="40" t="s">
        <v>69</v>
      </c>
      <c r="B135" s="26" t="s">
        <v>360</v>
      </c>
      <c r="C135" s="23" t="s">
        <v>362</v>
      </c>
      <c r="D135" s="3">
        <v>2523391.11</v>
      </c>
    </row>
    <row r="136" spans="1:4" s="5" customFormat="1" ht="25.5">
      <c r="A136" s="36" t="s">
        <v>259</v>
      </c>
      <c r="B136" s="37" t="s">
        <v>262</v>
      </c>
      <c r="C136" s="20"/>
      <c r="D136" s="3">
        <f>D137</f>
        <v>344827.8</v>
      </c>
    </row>
    <row r="137" spans="1:4" s="5" customFormat="1" ht="25.5">
      <c r="A137" s="40" t="s">
        <v>87</v>
      </c>
      <c r="B137" s="37" t="s">
        <v>262</v>
      </c>
      <c r="C137" s="20">
        <v>600</v>
      </c>
      <c r="D137" s="3">
        <f>D138</f>
        <v>344827.8</v>
      </c>
    </row>
    <row r="138" spans="1:4" s="5" customFormat="1" ht="12.75">
      <c r="A138" s="40" t="s">
        <v>54</v>
      </c>
      <c r="B138" s="37" t="s">
        <v>262</v>
      </c>
      <c r="C138" s="20">
        <v>610</v>
      </c>
      <c r="D138" s="3">
        <f>D139</f>
        <v>344827.8</v>
      </c>
    </row>
    <row r="139" spans="1:4" s="5" customFormat="1" ht="12.75">
      <c r="A139" s="40" t="s">
        <v>69</v>
      </c>
      <c r="B139" s="37" t="s">
        <v>262</v>
      </c>
      <c r="C139" s="20">
        <v>612</v>
      </c>
      <c r="D139" s="3">
        <v>344827.8</v>
      </c>
    </row>
    <row r="140" spans="1:4" s="11" customFormat="1">
      <c r="A140" s="58" t="s">
        <v>59</v>
      </c>
      <c r="B140" s="59" t="s">
        <v>323</v>
      </c>
      <c r="C140" s="60"/>
      <c r="D140" s="61">
        <f>D141+D145</f>
        <v>0</v>
      </c>
    </row>
    <row r="141" spans="1:4" s="5" customFormat="1" ht="25.5">
      <c r="A141" s="62" t="s">
        <v>322</v>
      </c>
      <c r="B141" s="54" t="s">
        <v>435</v>
      </c>
      <c r="C141" s="55"/>
      <c r="D141" s="3">
        <f t="shared" ref="D141:D143" si="18">D142</f>
        <v>0</v>
      </c>
    </row>
    <row r="142" spans="1:4" s="5" customFormat="1" ht="12.75">
      <c r="A142" s="53" t="s">
        <v>84</v>
      </c>
      <c r="B142" s="54" t="s">
        <v>435</v>
      </c>
      <c r="C142" s="55">
        <v>400</v>
      </c>
      <c r="D142" s="3">
        <f t="shared" si="18"/>
        <v>0</v>
      </c>
    </row>
    <row r="143" spans="1:4" s="5" customFormat="1" ht="12.75">
      <c r="A143" s="53" t="s">
        <v>85</v>
      </c>
      <c r="B143" s="54" t="s">
        <v>435</v>
      </c>
      <c r="C143" s="55">
        <v>410</v>
      </c>
      <c r="D143" s="3">
        <f t="shared" si="18"/>
        <v>0</v>
      </c>
    </row>
    <row r="144" spans="1:4" s="5" customFormat="1" ht="25.5">
      <c r="A144" s="53" t="s">
        <v>109</v>
      </c>
      <c r="B144" s="54" t="s">
        <v>435</v>
      </c>
      <c r="C144" s="55">
        <v>414</v>
      </c>
      <c r="D144" s="3">
        <v>0</v>
      </c>
    </row>
    <row r="145" spans="1:4" s="5" customFormat="1" ht="25.5">
      <c r="A145" s="62" t="s">
        <v>322</v>
      </c>
      <c r="B145" s="54" t="s">
        <v>436</v>
      </c>
      <c r="C145" s="55"/>
      <c r="D145" s="3">
        <f>D146</f>
        <v>0</v>
      </c>
    </row>
    <row r="146" spans="1:4" s="5" customFormat="1" ht="12.75">
      <c r="A146" s="53" t="s">
        <v>84</v>
      </c>
      <c r="B146" s="54" t="s">
        <v>436</v>
      </c>
      <c r="C146" s="55">
        <v>400</v>
      </c>
      <c r="D146" s="3">
        <f>D147</f>
        <v>0</v>
      </c>
    </row>
    <row r="147" spans="1:4" s="5" customFormat="1" ht="12.75">
      <c r="A147" s="53" t="s">
        <v>85</v>
      </c>
      <c r="B147" s="54" t="s">
        <v>436</v>
      </c>
      <c r="C147" s="55">
        <v>410</v>
      </c>
      <c r="D147" s="3">
        <f>D148</f>
        <v>0</v>
      </c>
    </row>
    <row r="148" spans="1:4" s="5" customFormat="1" ht="25.5">
      <c r="A148" s="53" t="s">
        <v>109</v>
      </c>
      <c r="B148" s="54" t="s">
        <v>436</v>
      </c>
      <c r="C148" s="55">
        <v>414</v>
      </c>
      <c r="D148" s="24">
        <f>41559.28-41559.28</f>
        <v>0</v>
      </c>
    </row>
    <row r="149" spans="1:4" s="5" customFormat="1" ht="12.75">
      <c r="A149" s="18" t="s">
        <v>260</v>
      </c>
      <c r="B149" s="63" t="s">
        <v>263</v>
      </c>
      <c r="C149" s="64"/>
      <c r="D149" s="3">
        <f>D150+D154</f>
        <v>1387489.8</v>
      </c>
    </row>
    <row r="150" spans="1:4" s="5" customFormat="1" ht="25.5">
      <c r="A150" s="18" t="s">
        <v>454</v>
      </c>
      <c r="B150" s="63" t="s">
        <v>363</v>
      </c>
      <c r="C150" s="64"/>
      <c r="D150" s="3">
        <f>D151</f>
        <v>0</v>
      </c>
    </row>
    <row r="151" spans="1:4" s="5" customFormat="1" ht="25.5">
      <c r="A151" s="18" t="s">
        <v>87</v>
      </c>
      <c r="B151" s="37" t="s">
        <v>363</v>
      </c>
      <c r="C151" s="20">
        <v>600</v>
      </c>
      <c r="D151" s="3">
        <f t="shared" ref="D151:D152" si="19">D152</f>
        <v>0</v>
      </c>
    </row>
    <row r="152" spans="1:4" s="5" customFormat="1" ht="12.75">
      <c r="A152" s="18" t="s">
        <v>54</v>
      </c>
      <c r="B152" s="37" t="s">
        <v>363</v>
      </c>
      <c r="C152" s="64">
        <v>610</v>
      </c>
      <c r="D152" s="3">
        <f t="shared" si="19"/>
        <v>0</v>
      </c>
    </row>
    <row r="153" spans="1:4" s="5" customFormat="1" ht="12.75">
      <c r="A153" s="18" t="s">
        <v>69</v>
      </c>
      <c r="B153" s="37" t="s">
        <v>363</v>
      </c>
      <c r="C153" s="64">
        <v>612</v>
      </c>
      <c r="D153" s="57">
        <v>0</v>
      </c>
    </row>
    <row r="154" spans="1:4" s="5" customFormat="1" ht="38.25">
      <c r="A154" s="22" t="s">
        <v>447</v>
      </c>
      <c r="B154" s="37" t="s">
        <v>449</v>
      </c>
      <c r="C154" s="64"/>
      <c r="D154" s="24">
        <f>D155</f>
        <v>1387489.8</v>
      </c>
    </row>
    <row r="155" spans="1:4" s="5" customFormat="1" ht="25.5">
      <c r="A155" s="22" t="s">
        <v>87</v>
      </c>
      <c r="B155" s="37" t="s">
        <v>449</v>
      </c>
      <c r="C155" s="64">
        <v>600</v>
      </c>
      <c r="D155" s="24">
        <f>D156</f>
        <v>1387489.8</v>
      </c>
    </row>
    <row r="156" spans="1:4" s="5" customFormat="1" ht="12.75">
      <c r="A156" s="22" t="s">
        <v>54</v>
      </c>
      <c r="B156" s="37" t="s">
        <v>449</v>
      </c>
      <c r="C156" s="64">
        <v>610</v>
      </c>
      <c r="D156" s="24">
        <f>D157</f>
        <v>1387489.8</v>
      </c>
    </row>
    <row r="157" spans="1:4" s="5" customFormat="1" ht="12.75">
      <c r="A157" s="22" t="s">
        <v>69</v>
      </c>
      <c r="B157" s="37" t="s">
        <v>449</v>
      </c>
      <c r="C157" s="64">
        <v>612</v>
      </c>
      <c r="D157" s="24">
        <v>1387489.8</v>
      </c>
    </row>
    <row r="158" spans="1:4" s="5" customFormat="1" ht="25.5">
      <c r="A158" s="22" t="s">
        <v>452</v>
      </c>
      <c r="B158" s="37" t="s">
        <v>450</v>
      </c>
      <c r="C158" s="64"/>
      <c r="D158" s="24">
        <f>D159</f>
        <v>4030554.55</v>
      </c>
    </row>
    <row r="159" spans="1:4" s="5" customFormat="1" ht="51">
      <c r="A159" s="22" t="s">
        <v>453</v>
      </c>
      <c r="B159" s="37" t="s">
        <v>451</v>
      </c>
      <c r="C159" s="64"/>
      <c r="D159" s="24">
        <f>D160</f>
        <v>4030554.55</v>
      </c>
    </row>
    <row r="160" spans="1:4" s="5" customFormat="1" ht="25.5">
      <c r="A160" s="22" t="s">
        <v>87</v>
      </c>
      <c r="B160" s="37" t="s">
        <v>451</v>
      </c>
      <c r="C160" s="64">
        <v>600</v>
      </c>
      <c r="D160" s="24">
        <f>D161</f>
        <v>4030554.55</v>
      </c>
    </row>
    <row r="161" spans="1:4" s="5" customFormat="1" ht="12.75">
      <c r="A161" s="22" t="s">
        <v>54</v>
      </c>
      <c r="B161" s="37" t="s">
        <v>451</v>
      </c>
      <c r="C161" s="64">
        <v>610</v>
      </c>
      <c r="D161" s="24">
        <f>D162</f>
        <v>4030554.55</v>
      </c>
    </row>
    <row r="162" spans="1:4" s="5" customFormat="1" ht="12.75">
      <c r="A162" s="22" t="s">
        <v>69</v>
      </c>
      <c r="B162" s="37" t="s">
        <v>451</v>
      </c>
      <c r="C162" s="64">
        <v>612</v>
      </c>
      <c r="D162" s="24">
        <v>4030554.55</v>
      </c>
    </row>
    <row r="163" spans="1:4" s="5" customFormat="1" ht="38.25">
      <c r="A163" s="22" t="s">
        <v>99</v>
      </c>
      <c r="B163" s="37" t="s">
        <v>100</v>
      </c>
      <c r="C163" s="35"/>
      <c r="D163" s="3">
        <f>D165</f>
        <v>100701.84</v>
      </c>
    </row>
    <row r="164" spans="1:4" s="5" customFormat="1" ht="25.5">
      <c r="A164" s="38" t="s">
        <v>87</v>
      </c>
      <c r="B164" s="37" t="s">
        <v>100</v>
      </c>
      <c r="C164" s="20">
        <v>600</v>
      </c>
      <c r="D164" s="3">
        <f t="shared" ref="D164:D165" si="20">D165</f>
        <v>100701.84</v>
      </c>
    </row>
    <row r="165" spans="1:4" s="5" customFormat="1" ht="12.75">
      <c r="A165" s="40" t="s">
        <v>54</v>
      </c>
      <c r="B165" s="37" t="s">
        <v>100</v>
      </c>
      <c r="C165" s="20">
        <v>610</v>
      </c>
      <c r="D165" s="3">
        <f t="shared" si="20"/>
        <v>100701.84</v>
      </c>
    </row>
    <row r="166" spans="1:4" s="5" customFormat="1" ht="12.75">
      <c r="A166" s="40" t="s">
        <v>69</v>
      </c>
      <c r="B166" s="37" t="s">
        <v>100</v>
      </c>
      <c r="C166" s="20">
        <v>612</v>
      </c>
      <c r="D166" s="3">
        <v>100701.84</v>
      </c>
    </row>
    <row r="167" spans="1:4" s="5" customFormat="1" ht="38.25">
      <c r="A167" s="65" t="s">
        <v>118</v>
      </c>
      <c r="B167" s="37" t="s">
        <v>117</v>
      </c>
      <c r="C167" s="35"/>
      <c r="D167" s="3">
        <f>D169</f>
        <v>21895474.760000002</v>
      </c>
    </row>
    <row r="168" spans="1:4" s="5" customFormat="1" ht="25.5">
      <c r="A168" s="38" t="s">
        <v>87</v>
      </c>
      <c r="B168" s="37" t="s">
        <v>117</v>
      </c>
      <c r="C168" s="20">
        <v>600</v>
      </c>
      <c r="D168" s="3">
        <f t="shared" ref="D168:D169" si="21">D169</f>
        <v>21895474.760000002</v>
      </c>
    </row>
    <row r="169" spans="1:4" s="5" customFormat="1" ht="12.75">
      <c r="A169" s="40" t="s">
        <v>54</v>
      </c>
      <c r="B169" s="37" t="s">
        <v>117</v>
      </c>
      <c r="C169" s="20">
        <v>610</v>
      </c>
      <c r="D169" s="3">
        <f t="shared" si="21"/>
        <v>21895474.760000002</v>
      </c>
    </row>
    <row r="170" spans="1:4" s="5" customFormat="1" ht="12.75">
      <c r="A170" s="40" t="s">
        <v>69</v>
      </c>
      <c r="B170" s="37" t="s">
        <v>117</v>
      </c>
      <c r="C170" s="20">
        <v>612</v>
      </c>
      <c r="D170" s="3">
        <v>21895474.760000002</v>
      </c>
    </row>
    <row r="171" spans="1:4" s="32" customFormat="1" ht="12.75">
      <c r="A171" s="42" t="s">
        <v>60</v>
      </c>
      <c r="B171" s="30" t="s">
        <v>61</v>
      </c>
      <c r="C171" s="31"/>
      <c r="D171" s="12">
        <f>D176+D180+D189+D199+D194+D172+D185</f>
        <v>147541702.68000001</v>
      </c>
    </row>
    <row r="172" spans="1:4" s="5" customFormat="1" ht="38.25">
      <c r="A172" s="36" t="s">
        <v>359</v>
      </c>
      <c r="B172" s="34" t="s">
        <v>499</v>
      </c>
      <c r="C172" s="35"/>
      <c r="D172" s="3">
        <f t="shared" ref="D172:D173" si="22">D173</f>
        <v>0</v>
      </c>
    </row>
    <row r="173" spans="1:4" s="5" customFormat="1" ht="25.5">
      <c r="A173" s="36" t="s">
        <v>87</v>
      </c>
      <c r="B173" s="34" t="s">
        <v>499</v>
      </c>
      <c r="C173" s="35">
        <v>600</v>
      </c>
      <c r="D173" s="3">
        <f t="shared" si="22"/>
        <v>0</v>
      </c>
    </row>
    <row r="174" spans="1:4" s="5" customFormat="1" ht="12.75">
      <c r="A174" s="36" t="s">
        <v>54</v>
      </c>
      <c r="B174" s="34" t="s">
        <v>499</v>
      </c>
      <c r="C174" s="35">
        <v>610</v>
      </c>
      <c r="D174" s="3">
        <f>D175</f>
        <v>0</v>
      </c>
    </row>
    <row r="175" spans="1:4" s="5" customFormat="1" ht="12.75">
      <c r="A175" s="36" t="s">
        <v>2</v>
      </c>
      <c r="B175" s="34" t="s">
        <v>499</v>
      </c>
      <c r="C175" s="35">
        <v>612</v>
      </c>
      <c r="D175" s="3"/>
    </row>
    <row r="176" spans="1:4" s="5" customFormat="1" ht="51">
      <c r="A176" s="36" t="s">
        <v>409</v>
      </c>
      <c r="B176" s="37" t="s">
        <v>364</v>
      </c>
      <c r="C176" s="35"/>
      <c r="D176" s="3">
        <f>D178</f>
        <v>5383500</v>
      </c>
    </row>
    <row r="177" spans="1:4" s="5" customFormat="1" ht="25.5">
      <c r="A177" s="38" t="s">
        <v>87</v>
      </c>
      <c r="B177" s="37" t="s">
        <v>364</v>
      </c>
      <c r="C177" s="35">
        <v>600</v>
      </c>
      <c r="D177" s="3">
        <f t="shared" ref="D177:D178" si="23">D178</f>
        <v>5383500</v>
      </c>
    </row>
    <row r="178" spans="1:4" s="5" customFormat="1" ht="12.75">
      <c r="A178" s="38" t="s">
        <v>54</v>
      </c>
      <c r="B178" s="37" t="s">
        <v>364</v>
      </c>
      <c r="C178" s="35">
        <v>610</v>
      </c>
      <c r="D178" s="3">
        <f t="shared" si="23"/>
        <v>5383500</v>
      </c>
    </row>
    <row r="179" spans="1:4" s="5" customFormat="1" ht="12.75">
      <c r="A179" s="39" t="s">
        <v>2</v>
      </c>
      <c r="B179" s="37" t="s">
        <v>364</v>
      </c>
      <c r="C179" s="35">
        <v>612</v>
      </c>
      <c r="D179" s="3">
        <v>5383500</v>
      </c>
    </row>
    <row r="180" spans="1:4" s="5" customFormat="1" ht="12.75">
      <c r="A180" s="40" t="s">
        <v>55</v>
      </c>
      <c r="B180" s="37" t="s">
        <v>365</v>
      </c>
      <c r="C180" s="35"/>
      <c r="D180" s="3">
        <f>D182</f>
        <v>89322493.579999998</v>
      </c>
    </row>
    <row r="181" spans="1:4" s="5" customFormat="1" ht="25.5">
      <c r="A181" s="38" t="s">
        <v>87</v>
      </c>
      <c r="B181" s="37" t="s">
        <v>365</v>
      </c>
      <c r="C181" s="35">
        <v>600</v>
      </c>
      <c r="D181" s="3">
        <f>D182</f>
        <v>89322493.579999998</v>
      </c>
    </row>
    <row r="182" spans="1:4" s="5" customFormat="1" ht="12.75">
      <c r="A182" s="38" t="s">
        <v>54</v>
      </c>
      <c r="B182" s="37" t="s">
        <v>365</v>
      </c>
      <c r="C182" s="35">
        <v>610</v>
      </c>
      <c r="D182" s="3">
        <f>D183+D184</f>
        <v>89322493.579999998</v>
      </c>
    </row>
    <row r="183" spans="1:4" s="5" customFormat="1" ht="38.25">
      <c r="A183" s="38" t="s">
        <v>4</v>
      </c>
      <c r="B183" s="37" t="s">
        <v>365</v>
      </c>
      <c r="C183" s="35">
        <v>611</v>
      </c>
      <c r="D183" s="3">
        <v>0</v>
      </c>
    </row>
    <row r="184" spans="1:4" s="5" customFormat="1" ht="51">
      <c r="A184" s="38" t="s">
        <v>367</v>
      </c>
      <c r="B184" s="37" t="s">
        <v>365</v>
      </c>
      <c r="C184" s="35">
        <v>614</v>
      </c>
      <c r="D184" s="3">
        <v>89322493.579999998</v>
      </c>
    </row>
    <row r="185" spans="1:4" s="5" customFormat="1" ht="25.5">
      <c r="A185" s="38" t="s">
        <v>442</v>
      </c>
      <c r="B185" s="37" t="s">
        <v>553</v>
      </c>
      <c r="C185" s="35"/>
      <c r="D185" s="3">
        <f t="shared" ref="D185:D186" si="24">D186</f>
        <v>391870</v>
      </c>
    </row>
    <row r="186" spans="1:4" s="5" customFormat="1" ht="25.5">
      <c r="A186" s="38" t="s">
        <v>87</v>
      </c>
      <c r="B186" s="37" t="s">
        <v>553</v>
      </c>
      <c r="C186" s="35">
        <v>600</v>
      </c>
      <c r="D186" s="3">
        <f t="shared" si="24"/>
        <v>391870</v>
      </c>
    </row>
    <row r="187" spans="1:4" s="5" customFormat="1" ht="12.75">
      <c r="A187" s="38" t="s">
        <v>54</v>
      </c>
      <c r="B187" s="37" t="s">
        <v>553</v>
      </c>
      <c r="C187" s="35">
        <v>610</v>
      </c>
      <c r="D187" s="3">
        <f>D188</f>
        <v>391870</v>
      </c>
    </row>
    <row r="188" spans="1:4" s="5" customFormat="1" ht="12.75">
      <c r="A188" s="38" t="s">
        <v>2</v>
      </c>
      <c r="B188" s="37" t="s">
        <v>553</v>
      </c>
      <c r="C188" s="35">
        <v>612</v>
      </c>
      <c r="D188" s="3">
        <v>391870</v>
      </c>
    </row>
    <row r="189" spans="1:4" s="5" customFormat="1" ht="12.75">
      <c r="A189" s="40" t="s">
        <v>56</v>
      </c>
      <c r="B189" s="34" t="s">
        <v>29</v>
      </c>
      <c r="C189" s="35"/>
      <c r="D189" s="3">
        <f>D191</f>
        <v>17377499.300000001</v>
      </c>
    </row>
    <row r="190" spans="1:4" s="5" customFormat="1" ht="25.5">
      <c r="A190" s="38" t="s">
        <v>87</v>
      </c>
      <c r="B190" s="34" t="s">
        <v>29</v>
      </c>
      <c r="C190" s="35">
        <v>600</v>
      </c>
      <c r="D190" s="3">
        <f t="shared" ref="D190" si="25">D191</f>
        <v>17377499.300000001</v>
      </c>
    </row>
    <row r="191" spans="1:4" s="5" customFormat="1" ht="12.75">
      <c r="A191" s="38" t="s">
        <v>54</v>
      </c>
      <c r="B191" s="34" t="s">
        <v>29</v>
      </c>
      <c r="C191" s="35">
        <v>610</v>
      </c>
      <c r="D191" s="3">
        <f>D192+D193</f>
        <v>17377499.300000001</v>
      </c>
    </row>
    <row r="192" spans="1:4" s="5" customFormat="1" ht="38.25">
      <c r="A192" s="38" t="s">
        <v>4</v>
      </c>
      <c r="B192" s="34" t="s">
        <v>29</v>
      </c>
      <c r="C192" s="35">
        <v>611</v>
      </c>
      <c r="D192" s="3">
        <v>0</v>
      </c>
    </row>
    <row r="193" spans="1:4" s="5" customFormat="1" ht="51">
      <c r="A193" s="38" t="s">
        <v>367</v>
      </c>
      <c r="B193" s="34" t="s">
        <v>29</v>
      </c>
      <c r="C193" s="35">
        <v>614</v>
      </c>
      <c r="D193" s="3">
        <v>17377499.300000001</v>
      </c>
    </row>
    <row r="194" spans="1:4" s="5" customFormat="1" ht="12.75">
      <c r="A194" s="40" t="s">
        <v>260</v>
      </c>
      <c r="B194" s="37" t="s">
        <v>455</v>
      </c>
      <c r="C194" s="20"/>
      <c r="D194" s="3">
        <f>D195</f>
        <v>1048483.33</v>
      </c>
    </row>
    <row r="195" spans="1:4" s="5" customFormat="1" ht="51">
      <c r="A195" s="40" t="s">
        <v>457</v>
      </c>
      <c r="B195" s="37" t="s">
        <v>456</v>
      </c>
      <c r="C195" s="20"/>
      <c r="D195" s="3">
        <f>D196</f>
        <v>1048483.33</v>
      </c>
    </row>
    <row r="196" spans="1:4" s="5" customFormat="1" ht="25.5">
      <c r="A196" s="40" t="s">
        <v>87</v>
      </c>
      <c r="B196" s="37" t="s">
        <v>456</v>
      </c>
      <c r="C196" s="20">
        <v>600</v>
      </c>
      <c r="D196" s="3">
        <f>D197</f>
        <v>1048483.33</v>
      </c>
    </row>
    <row r="197" spans="1:4" s="5" customFormat="1" ht="12.75">
      <c r="A197" s="40" t="s">
        <v>54</v>
      </c>
      <c r="B197" s="37" t="s">
        <v>456</v>
      </c>
      <c r="C197" s="20">
        <v>610</v>
      </c>
      <c r="D197" s="3">
        <f>D198</f>
        <v>1048483.33</v>
      </c>
    </row>
    <row r="198" spans="1:4" s="5" customFormat="1" ht="12.75">
      <c r="A198" s="40" t="s">
        <v>2</v>
      </c>
      <c r="B198" s="37" t="s">
        <v>456</v>
      </c>
      <c r="C198" s="20">
        <v>612</v>
      </c>
      <c r="D198" s="3">
        <v>1048483.33</v>
      </c>
    </row>
    <row r="199" spans="1:4" s="5" customFormat="1" ht="38.25">
      <c r="A199" s="40" t="s">
        <v>355</v>
      </c>
      <c r="B199" s="37" t="s">
        <v>264</v>
      </c>
      <c r="C199" s="20"/>
      <c r="D199" s="3">
        <f>D200+D204</f>
        <v>34017856.469999999</v>
      </c>
    </row>
    <row r="200" spans="1:4" s="5" customFormat="1" ht="12.75">
      <c r="A200" s="40" t="s">
        <v>55</v>
      </c>
      <c r="B200" s="37" t="s">
        <v>366</v>
      </c>
      <c r="C200" s="20"/>
      <c r="D200" s="3">
        <f>D202</f>
        <v>28517504.420000002</v>
      </c>
    </row>
    <row r="201" spans="1:4" s="5" customFormat="1" ht="25.5">
      <c r="A201" s="38" t="s">
        <v>87</v>
      </c>
      <c r="B201" s="37" t="s">
        <v>366</v>
      </c>
      <c r="C201" s="20">
        <v>600</v>
      </c>
      <c r="D201" s="3">
        <f t="shared" ref="D201:D202" si="26">D202</f>
        <v>28517504.420000002</v>
      </c>
    </row>
    <row r="202" spans="1:4" s="5" customFormat="1" ht="12.75">
      <c r="A202" s="38" t="s">
        <v>54</v>
      </c>
      <c r="B202" s="37" t="s">
        <v>366</v>
      </c>
      <c r="C202" s="20">
        <v>610</v>
      </c>
      <c r="D202" s="3">
        <f t="shared" si="26"/>
        <v>28517504.420000002</v>
      </c>
    </row>
    <row r="203" spans="1:4" s="5" customFormat="1" ht="51">
      <c r="A203" s="40" t="s">
        <v>367</v>
      </c>
      <c r="B203" s="37" t="s">
        <v>366</v>
      </c>
      <c r="C203" s="20">
        <v>614</v>
      </c>
      <c r="D203" s="3">
        <v>28517504.420000002</v>
      </c>
    </row>
    <row r="204" spans="1:4" s="21" customFormat="1" ht="12.75">
      <c r="A204" s="40" t="s">
        <v>56</v>
      </c>
      <c r="B204" s="59" t="s">
        <v>91</v>
      </c>
      <c r="C204" s="20"/>
      <c r="D204" s="3">
        <f>D205+D213</f>
        <v>5500352.0499999998</v>
      </c>
    </row>
    <row r="205" spans="1:4" s="21" customFormat="1" ht="25.5">
      <c r="A205" s="38" t="s">
        <v>87</v>
      </c>
      <c r="B205" s="59" t="s">
        <v>91</v>
      </c>
      <c r="C205" s="66">
        <v>600</v>
      </c>
      <c r="D205" s="3">
        <f>D206+D209+D211</f>
        <v>5500352.0499999998</v>
      </c>
    </row>
    <row r="206" spans="1:4" s="21" customFormat="1" ht="12.75">
      <c r="A206" s="18" t="s">
        <v>54</v>
      </c>
      <c r="B206" s="59" t="s">
        <v>91</v>
      </c>
      <c r="C206" s="66">
        <v>610</v>
      </c>
      <c r="D206" s="3">
        <f>D207+D208</f>
        <v>5500352.0499999998</v>
      </c>
    </row>
    <row r="207" spans="1:4" s="21" customFormat="1" ht="51">
      <c r="A207" s="40" t="s">
        <v>367</v>
      </c>
      <c r="B207" s="59" t="s">
        <v>91</v>
      </c>
      <c r="C207" s="66">
        <v>614</v>
      </c>
      <c r="D207" s="3">
        <v>5500352.0499999998</v>
      </c>
    </row>
    <row r="208" spans="1:4" s="21" customFormat="1" ht="51">
      <c r="A208" s="40" t="s">
        <v>373</v>
      </c>
      <c r="B208" s="59" t="s">
        <v>91</v>
      </c>
      <c r="C208" s="66">
        <v>615</v>
      </c>
      <c r="D208" s="3">
        <v>0</v>
      </c>
    </row>
    <row r="209" spans="1:4" s="21" customFormat="1" ht="12.75">
      <c r="A209" s="56" t="s">
        <v>93</v>
      </c>
      <c r="B209" s="37" t="s">
        <v>91</v>
      </c>
      <c r="C209" s="20">
        <v>620</v>
      </c>
      <c r="D209" s="3">
        <f>D210</f>
        <v>0</v>
      </c>
    </row>
    <row r="210" spans="1:4" s="21" customFormat="1" ht="51">
      <c r="A210" s="40" t="s">
        <v>374</v>
      </c>
      <c r="B210" s="37" t="s">
        <v>91</v>
      </c>
      <c r="C210" s="20">
        <v>625</v>
      </c>
      <c r="D210" s="3">
        <v>0</v>
      </c>
    </row>
    <row r="211" spans="1:4" s="21" customFormat="1" ht="25.5">
      <c r="A211" s="56" t="s">
        <v>94</v>
      </c>
      <c r="B211" s="37" t="s">
        <v>91</v>
      </c>
      <c r="C211" s="20">
        <v>630</v>
      </c>
      <c r="D211" s="3">
        <f>D212</f>
        <v>0</v>
      </c>
    </row>
    <row r="212" spans="1:4" s="21" customFormat="1" ht="38.25">
      <c r="A212" s="40" t="s">
        <v>375</v>
      </c>
      <c r="B212" s="37" t="s">
        <v>91</v>
      </c>
      <c r="C212" s="20">
        <v>635</v>
      </c>
      <c r="D212" s="3">
        <v>0</v>
      </c>
    </row>
    <row r="213" spans="1:4" s="21" customFormat="1" ht="12.75">
      <c r="A213" s="67" t="s">
        <v>89</v>
      </c>
      <c r="B213" s="37" t="s">
        <v>91</v>
      </c>
      <c r="C213" s="20">
        <v>800</v>
      </c>
      <c r="D213" s="3">
        <f t="shared" ref="D213:D214" si="27">D214</f>
        <v>0</v>
      </c>
    </row>
    <row r="214" spans="1:4" s="21" customFormat="1" ht="38.25">
      <c r="A214" s="56" t="s">
        <v>96</v>
      </c>
      <c r="B214" s="37" t="s">
        <v>91</v>
      </c>
      <c r="C214" s="20">
        <v>810</v>
      </c>
      <c r="D214" s="3">
        <f t="shared" si="27"/>
        <v>0</v>
      </c>
    </row>
    <row r="215" spans="1:4" s="21" customFormat="1" ht="38.25">
      <c r="A215" s="40" t="s">
        <v>375</v>
      </c>
      <c r="B215" s="37" t="s">
        <v>91</v>
      </c>
      <c r="C215" s="20">
        <v>816</v>
      </c>
      <c r="D215" s="3">
        <v>0</v>
      </c>
    </row>
    <row r="216" spans="1:4" s="32" customFormat="1" ht="25.5">
      <c r="A216" s="68" t="s">
        <v>63</v>
      </c>
      <c r="B216" s="30" t="s">
        <v>32</v>
      </c>
      <c r="C216" s="31"/>
      <c r="D216" s="12">
        <f>D217+D228</f>
        <v>15072763.07</v>
      </c>
    </row>
    <row r="217" spans="1:4" s="5" customFormat="1" ht="12.75">
      <c r="A217" s="27" t="s">
        <v>65</v>
      </c>
      <c r="B217" s="34" t="s">
        <v>33</v>
      </c>
      <c r="C217" s="37"/>
      <c r="D217" s="3">
        <f>D219+D224+D227</f>
        <v>14787852.18</v>
      </c>
    </row>
    <row r="218" spans="1:4" s="5" customFormat="1" ht="38.25">
      <c r="A218" s="27" t="s">
        <v>88</v>
      </c>
      <c r="B218" s="34" t="s">
        <v>33</v>
      </c>
      <c r="C218" s="35">
        <v>100</v>
      </c>
      <c r="D218" s="3">
        <f>D219</f>
        <v>14090352.18</v>
      </c>
    </row>
    <row r="219" spans="1:4" s="5" customFormat="1" ht="12.75">
      <c r="A219" s="27" t="s">
        <v>66</v>
      </c>
      <c r="B219" s="34" t="s">
        <v>33</v>
      </c>
      <c r="C219" s="35">
        <v>120</v>
      </c>
      <c r="D219" s="3">
        <f>D220+D221+D222</f>
        <v>14090352.18</v>
      </c>
    </row>
    <row r="220" spans="1:4" s="5" customFormat="1" ht="12.75">
      <c r="A220" s="67" t="s">
        <v>9</v>
      </c>
      <c r="B220" s="34" t="s">
        <v>33</v>
      </c>
      <c r="C220" s="35">
        <v>121</v>
      </c>
      <c r="D220" s="3">
        <v>10668149.41</v>
      </c>
    </row>
    <row r="221" spans="1:4" s="5" customFormat="1" ht="25.5">
      <c r="A221" s="67" t="s">
        <v>5</v>
      </c>
      <c r="B221" s="34" t="s">
        <v>33</v>
      </c>
      <c r="C221" s="35">
        <v>122</v>
      </c>
      <c r="D221" s="3">
        <v>256611.64</v>
      </c>
    </row>
    <row r="222" spans="1:4" s="5" customFormat="1" ht="38.25">
      <c r="A222" s="67" t="s">
        <v>8</v>
      </c>
      <c r="B222" s="34" t="s">
        <v>33</v>
      </c>
      <c r="C222" s="35">
        <v>129</v>
      </c>
      <c r="D222" s="3">
        <v>3165591.13</v>
      </c>
    </row>
    <row r="223" spans="1:4" s="5" customFormat="1" ht="25.5">
      <c r="A223" s="27" t="s">
        <v>86</v>
      </c>
      <c r="B223" s="34" t="s">
        <v>33</v>
      </c>
      <c r="C223" s="35">
        <v>200</v>
      </c>
      <c r="D223" s="3">
        <f t="shared" ref="D223:D224" si="28">D224</f>
        <v>697500</v>
      </c>
    </row>
    <row r="224" spans="1:4" s="5" customFormat="1" ht="25.5">
      <c r="A224" s="27" t="s">
        <v>67</v>
      </c>
      <c r="B224" s="34" t="s">
        <v>33</v>
      </c>
      <c r="C224" s="35">
        <v>240</v>
      </c>
      <c r="D224" s="3">
        <f t="shared" si="28"/>
        <v>697500</v>
      </c>
    </row>
    <row r="225" spans="1:4" s="5" customFormat="1" ht="12.75">
      <c r="A225" s="58" t="s">
        <v>24</v>
      </c>
      <c r="B225" s="34" t="s">
        <v>33</v>
      </c>
      <c r="C225" s="35">
        <v>244</v>
      </c>
      <c r="D225" s="3">
        <f>850000-152500</f>
        <v>697500</v>
      </c>
    </row>
    <row r="226" spans="1:4" s="5" customFormat="1" ht="12.75">
      <c r="A226" s="58" t="s">
        <v>89</v>
      </c>
      <c r="B226" s="34" t="s">
        <v>33</v>
      </c>
      <c r="C226" s="35">
        <v>800</v>
      </c>
      <c r="D226" s="3">
        <f>D227</f>
        <v>0</v>
      </c>
    </row>
    <row r="227" spans="1:4" s="5" customFormat="1" ht="12.75">
      <c r="A227" s="58" t="s">
        <v>6</v>
      </c>
      <c r="B227" s="34" t="s">
        <v>33</v>
      </c>
      <c r="C227" s="35">
        <v>850</v>
      </c>
      <c r="D227" s="3">
        <v>0</v>
      </c>
    </row>
    <row r="228" spans="1:4" s="5" customFormat="1" ht="12.75">
      <c r="A228" s="58" t="s">
        <v>58</v>
      </c>
      <c r="B228" s="34" t="s">
        <v>119</v>
      </c>
      <c r="C228" s="35"/>
      <c r="D228" s="3">
        <f>D230+D233</f>
        <v>284910.89</v>
      </c>
    </row>
    <row r="229" spans="1:4" s="5" customFormat="1" ht="38.25">
      <c r="A229" s="58" t="s">
        <v>88</v>
      </c>
      <c r="B229" s="34" t="s">
        <v>119</v>
      </c>
      <c r="C229" s="35">
        <v>100</v>
      </c>
      <c r="D229" s="3">
        <f>D230</f>
        <v>69795.899999999994</v>
      </c>
    </row>
    <row r="230" spans="1:4" s="5" customFormat="1" ht="12.75">
      <c r="A230" s="58" t="s">
        <v>68</v>
      </c>
      <c r="B230" s="34" t="s">
        <v>119</v>
      </c>
      <c r="C230" s="35">
        <v>120</v>
      </c>
      <c r="D230" s="3">
        <f t="shared" ref="D230" si="29">D231</f>
        <v>69795.899999999994</v>
      </c>
    </row>
    <row r="231" spans="1:4" s="5" customFormat="1" ht="38.25">
      <c r="A231" s="58" t="s">
        <v>22</v>
      </c>
      <c r="B231" s="34" t="s">
        <v>119</v>
      </c>
      <c r="C231" s="35">
        <v>123</v>
      </c>
      <c r="D231" s="24">
        <v>69795.899999999994</v>
      </c>
    </row>
    <row r="232" spans="1:4" s="5" customFormat="1" ht="25.5">
      <c r="A232" s="27" t="s">
        <v>86</v>
      </c>
      <c r="B232" s="34" t="s">
        <v>119</v>
      </c>
      <c r="C232" s="35">
        <v>200</v>
      </c>
      <c r="D232" s="3">
        <f t="shared" ref="D232:D233" si="30">D233</f>
        <v>215114.99</v>
      </c>
    </row>
    <row r="233" spans="1:4" s="5" customFormat="1" ht="25.5">
      <c r="A233" s="27" t="s">
        <v>67</v>
      </c>
      <c r="B233" s="34" t="s">
        <v>119</v>
      </c>
      <c r="C233" s="35">
        <v>240</v>
      </c>
      <c r="D233" s="3">
        <f t="shared" si="30"/>
        <v>215114.99</v>
      </c>
    </row>
    <row r="234" spans="1:4" s="5" customFormat="1" ht="12.75">
      <c r="A234" s="67" t="s">
        <v>24</v>
      </c>
      <c r="B234" s="34" t="s">
        <v>119</v>
      </c>
      <c r="C234" s="35">
        <v>244</v>
      </c>
      <c r="D234" s="3">
        <v>215114.99</v>
      </c>
    </row>
    <row r="235" spans="1:4" s="32" customFormat="1" ht="12.75">
      <c r="A235" s="42" t="s">
        <v>62</v>
      </c>
      <c r="B235" s="30" t="s">
        <v>30</v>
      </c>
      <c r="C235" s="69"/>
      <c r="D235" s="70">
        <f>D240+D244+D236</f>
        <v>5004209.5999999996</v>
      </c>
    </row>
    <row r="236" spans="1:4" s="32" customFormat="1" ht="63.75">
      <c r="A236" s="36" t="s">
        <v>459</v>
      </c>
      <c r="B236" s="34" t="s">
        <v>458</v>
      </c>
      <c r="C236" s="37"/>
      <c r="D236" s="71">
        <f>D237</f>
        <v>0</v>
      </c>
    </row>
    <row r="237" spans="1:4" s="32" customFormat="1" ht="25.5">
      <c r="A237" s="36" t="s">
        <v>87</v>
      </c>
      <c r="B237" s="34" t="s">
        <v>458</v>
      </c>
      <c r="C237" s="37">
        <v>600</v>
      </c>
      <c r="D237" s="71">
        <f>D238</f>
        <v>0</v>
      </c>
    </row>
    <row r="238" spans="1:4" s="32" customFormat="1" ht="12.75">
      <c r="A238" s="36" t="s">
        <v>54</v>
      </c>
      <c r="B238" s="34" t="s">
        <v>458</v>
      </c>
      <c r="C238" s="37">
        <v>610</v>
      </c>
      <c r="D238" s="71">
        <f>D239</f>
        <v>0</v>
      </c>
    </row>
    <row r="239" spans="1:4" s="32" customFormat="1" ht="12.75">
      <c r="A239" s="36" t="s">
        <v>2</v>
      </c>
      <c r="B239" s="34" t="s">
        <v>458</v>
      </c>
      <c r="C239" s="37">
        <v>612</v>
      </c>
      <c r="D239" s="71"/>
    </row>
    <row r="240" spans="1:4" s="5" customFormat="1" ht="38.25">
      <c r="A240" s="58" t="s">
        <v>411</v>
      </c>
      <c r="B240" s="37" t="s">
        <v>376</v>
      </c>
      <c r="C240" s="37"/>
      <c r="D240" s="3">
        <f>D242</f>
        <v>3443529.6</v>
      </c>
    </row>
    <row r="241" spans="1:4" s="5" customFormat="1" ht="25.5">
      <c r="A241" s="38" t="s">
        <v>87</v>
      </c>
      <c r="B241" s="37" t="s">
        <v>376</v>
      </c>
      <c r="C241" s="35">
        <v>600</v>
      </c>
      <c r="D241" s="3">
        <f t="shared" ref="D241:D242" si="31">D242</f>
        <v>3443529.6</v>
      </c>
    </row>
    <row r="242" spans="1:4" s="5" customFormat="1" ht="12.75">
      <c r="A242" s="38" t="s">
        <v>54</v>
      </c>
      <c r="B242" s="37" t="s">
        <v>376</v>
      </c>
      <c r="C242" s="35">
        <v>610</v>
      </c>
      <c r="D242" s="3">
        <f t="shared" si="31"/>
        <v>3443529.6</v>
      </c>
    </row>
    <row r="243" spans="1:4" s="5" customFormat="1" ht="12.75">
      <c r="A243" s="72" t="s">
        <v>2</v>
      </c>
      <c r="B243" s="37" t="s">
        <v>376</v>
      </c>
      <c r="C243" s="35">
        <v>612</v>
      </c>
      <c r="D243" s="3">
        <v>3443529.6</v>
      </c>
    </row>
    <row r="244" spans="1:4" s="5" customFormat="1" ht="12.75">
      <c r="A244" s="25" t="s">
        <v>64</v>
      </c>
      <c r="B244" s="34" t="s">
        <v>31</v>
      </c>
      <c r="C244" s="35"/>
      <c r="D244" s="3">
        <f>D246</f>
        <v>1560680</v>
      </c>
    </row>
    <row r="245" spans="1:4" s="5" customFormat="1" ht="25.5">
      <c r="A245" s="38" t="s">
        <v>87</v>
      </c>
      <c r="B245" s="34" t="s">
        <v>31</v>
      </c>
      <c r="C245" s="35">
        <v>600</v>
      </c>
      <c r="D245" s="3">
        <f>D246</f>
        <v>1560680</v>
      </c>
    </row>
    <row r="246" spans="1:4" s="5" customFormat="1" ht="12.75">
      <c r="A246" s="38" t="s">
        <v>54</v>
      </c>
      <c r="B246" s="34" t="s">
        <v>31</v>
      </c>
      <c r="C246" s="35">
        <v>610</v>
      </c>
      <c r="D246" s="3">
        <f>D247+D248</f>
        <v>1560680</v>
      </c>
    </row>
    <row r="247" spans="1:4" s="5" customFormat="1" ht="38.25">
      <c r="A247" s="38" t="s">
        <v>4</v>
      </c>
      <c r="B247" s="34" t="s">
        <v>31</v>
      </c>
      <c r="C247" s="35" t="s">
        <v>23</v>
      </c>
      <c r="D247" s="3">
        <v>0</v>
      </c>
    </row>
    <row r="248" spans="1:4" s="5" customFormat="1" ht="12.75">
      <c r="A248" s="72" t="s">
        <v>2</v>
      </c>
      <c r="B248" s="34" t="s">
        <v>31</v>
      </c>
      <c r="C248" s="35">
        <v>612</v>
      </c>
      <c r="D248" s="57">
        <v>1560680</v>
      </c>
    </row>
    <row r="249" spans="1:4" s="17" customFormat="1" ht="27">
      <c r="A249" s="13" t="s">
        <v>240</v>
      </c>
      <c r="B249" s="14" t="s">
        <v>113</v>
      </c>
      <c r="C249" s="15"/>
      <c r="D249" s="16">
        <f>D250+D262+D266+D270+D275+D282+D258</f>
        <v>56413333.469999991</v>
      </c>
    </row>
    <row r="250" spans="1:4" s="17" customFormat="1" ht="12.75">
      <c r="A250" s="25" t="s">
        <v>415</v>
      </c>
      <c r="B250" s="23" t="s">
        <v>377</v>
      </c>
      <c r="C250" s="73"/>
      <c r="D250" s="3">
        <f>D251+D255</f>
        <v>23765008.579999998</v>
      </c>
    </row>
    <row r="251" spans="1:4" s="5" customFormat="1" ht="25.5">
      <c r="A251" s="27" t="s">
        <v>86</v>
      </c>
      <c r="B251" s="23" t="s">
        <v>377</v>
      </c>
      <c r="C251" s="23">
        <v>200</v>
      </c>
      <c r="D251" s="3">
        <f>D252</f>
        <v>21766010.579999998</v>
      </c>
    </row>
    <row r="252" spans="1:4" s="5" customFormat="1" ht="25.5">
      <c r="A252" s="27" t="s">
        <v>67</v>
      </c>
      <c r="B252" s="23" t="s">
        <v>377</v>
      </c>
      <c r="C252" s="23">
        <v>240</v>
      </c>
      <c r="D252" s="3">
        <f>D254+D253</f>
        <v>21766010.579999998</v>
      </c>
    </row>
    <row r="253" spans="1:4" s="5" customFormat="1" ht="25.5">
      <c r="A253" s="65" t="s">
        <v>382</v>
      </c>
      <c r="B253" s="23" t="s">
        <v>377</v>
      </c>
      <c r="C253" s="23" t="s">
        <v>383</v>
      </c>
      <c r="D253" s="3">
        <v>11100191.949999999</v>
      </c>
    </row>
    <row r="254" spans="1:4" s="5" customFormat="1" ht="12.75">
      <c r="A254" s="27" t="s">
        <v>24</v>
      </c>
      <c r="B254" s="23" t="s">
        <v>377</v>
      </c>
      <c r="C254" s="23">
        <v>244</v>
      </c>
      <c r="D254" s="3">
        <v>10665818.630000001</v>
      </c>
    </row>
    <row r="255" spans="1:4" s="5" customFormat="1" ht="12.75">
      <c r="A255" s="27" t="s">
        <v>84</v>
      </c>
      <c r="B255" s="26" t="s">
        <v>377</v>
      </c>
      <c r="C255" s="74" t="s">
        <v>215</v>
      </c>
      <c r="D255" s="3">
        <f>D256</f>
        <v>1998998</v>
      </c>
    </row>
    <row r="256" spans="1:4" s="5" customFormat="1" ht="12.75">
      <c r="A256" s="27" t="s">
        <v>85</v>
      </c>
      <c r="B256" s="26" t="s">
        <v>377</v>
      </c>
      <c r="C256" s="74" t="s">
        <v>216</v>
      </c>
      <c r="D256" s="3">
        <f>D257</f>
        <v>1998998</v>
      </c>
    </row>
    <row r="257" spans="1:4" s="5" customFormat="1" ht="25.5">
      <c r="A257" s="27" t="s">
        <v>109</v>
      </c>
      <c r="B257" s="26" t="s">
        <v>377</v>
      </c>
      <c r="C257" s="74" t="s">
        <v>401</v>
      </c>
      <c r="D257" s="3">
        <v>1998998</v>
      </c>
    </row>
    <row r="258" spans="1:4" s="5" customFormat="1" ht="12.75">
      <c r="A258" s="27" t="s">
        <v>500</v>
      </c>
      <c r="B258" s="26" t="s">
        <v>501</v>
      </c>
      <c r="C258" s="74"/>
      <c r="D258" s="3">
        <f t="shared" ref="D258:D259" si="32">D259</f>
        <v>0</v>
      </c>
    </row>
    <row r="259" spans="1:4" s="5" customFormat="1" ht="25.5">
      <c r="A259" s="27" t="s">
        <v>86</v>
      </c>
      <c r="B259" s="26" t="s">
        <v>501</v>
      </c>
      <c r="C259" s="74" t="s">
        <v>111</v>
      </c>
      <c r="D259" s="3">
        <f t="shared" si="32"/>
        <v>0</v>
      </c>
    </row>
    <row r="260" spans="1:4" s="5" customFormat="1" ht="25.5">
      <c r="A260" s="27" t="s">
        <v>67</v>
      </c>
      <c r="B260" s="26" t="s">
        <v>501</v>
      </c>
      <c r="C260" s="74" t="s">
        <v>112</v>
      </c>
      <c r="D260" s="3">
        <f>D261</f>
        <v>0</v>
      </c>
    </row>
    <row r="261" spans="1:4" s="5" customFormat="1" ht="12.75">
      <c r="A261" s="27" t="s">
        <v>24</v>
      </c>
      <c r="B261" s="26" t="s">
        <v>501</v>
      </c>
      <c r="C261" s="74" t="s">
        <v>70</v>
      </c>
      <c r="D261" s="3">
        <v>0</v>
      </c>
    </row>
    <row r="262" spans="1:4" s="17" customFormat="1" ht="25.5">
      <c r="A262" s="27" t="s">
        <v>200</v>
      </c>
      <c r="B262" s="75" t="s">
        <v>282</v>
      </c>
      <c r="C262" s="73"/>
      <c r="D262" s="3">
        <f t="shared" ref="D262:D263" si="33">D263</f>
        <v>5324691.08</v>
      </c>
    </row>
    <row r="263" spans="1:4" s="5" customFormat="1" ht="25.5">
      <c r="A263" s="27" t="s">
        <v>86</v>
      </c>
      <c r="B263" s="75" t="s">
        <v>282</v>
      </c>
      <c r="C263" s="23">
        <v>200</v>
      </c>
      <c r="D263" s="3">
        <f t="shared" si="33"/>
        <v>5324691.08</v>
      </c>
    </row>
    <row r="264" spans="1:4" s="5" customFormat="1" ht="25.5">
      <c r="A264" s="27" t="s">
        <v>67</v>
      </c>
      <c r="B264" s="75" t="s">
        <v>282</v>
      </c>
      <c r="C264" s="23">
        <v>240</v>
      </c>
      <c r="D264" s="3">
        <f>D265</f>
        <v>5324691.08</v>
      </c>
    </row>
    <row r="265" spans="1:4" s="5" customFormat="1" ht="12.75">
      <c r="A265" s="27" t="s">
        <v>24</v>
      </c>
      <c r="B265" s="75" t="s">
        <v>282</v>
      </c>
      <c r="C265" s="23">
        <v>244</v>
      </c>
      <c r="D265" s="3">
        <v>5324691.08</v>
      </c>
    </row>
    <row r="266" spans="1:4" s="17" customFormat="1" ht="12.75">
      <c r="A266" s="27" t="s">
        <v>201</v>
      </c>
      <c r="B266" s="75" t="s">
        <v>284</v>
      </c>
      <c r="C266" s="73"/>
      <c r="D266" s="3">
        <f t="shared" ref="D266:D267" si="34">D267</f>
        <v>1281959.92</v>
      </c>
    </row>
    <row r="267" spans="1:4" s="5" customFormat="1" ht="25.5">
      <c r="A267" s="27" t="s">
        <v>86</v>
      </c>
      <c r="B267" s="75" t="s">
        <v>284</v>
      </c>
      <c r="C267" s="23">
        <v>200</v>
      </c>
      <c r="D267" s="3">
        <f t="shared" si="34"/>
        <v>1281959.92</v>
      </c>
    </row>
    <row r="268" spans="1:4" s="5" customFormat="1" ht="25.5">
      <c r="A268" s="27" t="s">
        <v>67</v>
      </c>
      <c r="B268" s="75" t="s">
        <v>284</v>
      </c>
      <c r="C268" s="23">
        <v>240</v>
      </c>
      <c r="D268" s="3">
        <f>D269</f>
        <v>1281959.92</v>
      </c>
    </row>
    <row r="269" spans="1:4" s="5" customFormat="1" ht="12.75">
      <c r="A269" s="27" t="s">
        <v>24</v>
      </c>
      <c r="B269" s="75" t="s">
        <v>284</v>
      </c>
      <c r="C269" s="23">
        <v>244</v>
      </c>
      <c r="D269" s="3">
        <v>1281959.92</v>
      </c>
    </row>
    <row r="270" spans="1:4" s="17" customFormat="1" ht="12.75">
      <c r="A270" s="27" t="s">
        <v>283</v>
      </c>
      <c r="B270" s="75" t="s">
        <v>287</v>
      </c>
      <c r="C270" s="73"/>
      <c r="D270" s="3">
        <f t="shared" ref="D270:D271" si="35">D271</f>
        <v>17497965.489999998</v>
      </c>
    </row>
    <row r="271" spans="1:4" s="5" customFormat="1" ht="25.5">
      <c r="A271" s="27" t="s">
        <v>86</v>
      </c>
      <c r="B271" s="75" t="s">
        <v>287</v>
      </c>
      <c r="C271" s="23">
        <v>200</v>
      </c>
      <c r="D271" s="3">
        <f t="shared" si="35"/>
        <v>17497965.489999998</v>
      </c>
    </row>
    <row r="272" spans="1:4" s="5" customFormat="1" ht="25.5">
      <c r="A272" s="27" t="s">
        <v>67</v>
      </c>
      <c r="B272" s="75" t="s">
        <v>287</v>
      </c>
      <c r="C272" s="23">
        <v>240</v>
      </c>
      <c r="D272" s="3">
        <f>D273+D274</f>
        <v>17497965.489999998</v>
      </c>
    </row>
    <row r="273" spans="1:4" s="5" customFormat="1" ht="12.75">
      <c r="A273" s="27" t="s">
        <v>24</v>
      </c>
      <c r="B273" s="75" t="s">
        <v>287</v>
      </c>
      <c r="C273" s="23">
        <v>244</v>
      </c>
      <c r="D273" s="3">
        <v>6222909.3899999997</v>
      </c>
    </row>
    <row r="274" spans="1:4" s="5" customFormat="1" ht="12.75">
      <c r="A274" s="27" t="s">
        <v>98</v>
      </c>
      <c r="B274" s="75" t="s">
        <v>287</v>
      </c>
      <c r="C274" s="76">
        <v>247</v>
      </c>
      <c r="D274" s="3">
        <v>11275056.1</v>
      </c>
    </row>
    <row r="275" spans="1:4" s="17" customFormat="1" ht="12.75">
      <c r="A275" s="27" t="s">
        <v>285</v>
      </c>
      <c r="B275" s="23" t="s">
        <v>286</v>
      </c>
      <c r="C275" s="73"/>
      <c r="D275" s="3">
        <f>D276+D279</f>
        <v>6719515.1800000006</v>
      </c>
    </row>
    <row r="276" spans="1:4" s="5" customFormat="1" ht="25.5">
      <c r="A276" s="27" t="s">
        <v>86</v>
      </c>
      <c r="B276" s="23" t="s">
        <v>286</v>
      </c>
      <c r="C276" s="23">
        <v>200</v>
      </c>
      <c r="D276" s="3">
        <f t="shared" ref="D276" si="36">D277</f>
        <v>6679046.2800000003</v>
      </c>
    </row>
    <row r="277" spans="1:4" s="5" customFormat="1" ht="25.5">
      <c r="A277" s="27" t="s">
        <v>67</v>
      </c>
      <c r="B277" s="23" t="s">
        <v>286</v>
      </c>
      <c r="C277" s="49">
        <v>240</v>
      </c>
      <c r="D277" s="3">
        <f>D278</f>
        <v>6679046.2800000003</v>
      </c>
    </row>
    <row r="278" spans="1:4" s="5" customFormat="1" ht="12.75">
      <c r="A278" s="27" t="s">
        <v>24</v>
      </c>
      <c r="B278" s="23" t="s">
        <v>286</v>
      </c>
      <c r="C278" s="49">
        <v>244</v>
      </c>
      <c r="D278" s="3">
        <v>6679046.2800000003</v>
      </c>
    </row>
    <row r="279" spans="1:4" s="5" customFormat="1" ht="12.75">
      <c r="A279" s="27" t="s">
        <v>89</v>
      </c>
      <c r="B279" s="23" t="s">
        <v>286</v>
      </c>
      <c r="C279" s="77">
        <v>800</v>
      </c>
      <c r="D279" s="3">
        <f>D280</f>
        <v>40468.9</v>
      </c>
    </row>
    <row r="280" spans="1:4" s="5" customFormat="1" ht="12.75">
      <c r="A280" s="27" t="s">
        <v>518</v>
      </c>
      <c r="B280" s="23" t="s">
        <v>286</v>
      </c>
      <c r="C280" s="77">
        <v>830</v>
      </c>
      <c r="D280" s="3">
        <f>D281</f>
        <v>40468.9</v>
      </c>
    </row>
    <row r="281" spans="1:4" s="5" customFormat="1" ht="25.5">
      <c r="A281" s="27" t="s">
        <v>199</v>
      </c>
      <c r="B281" s="23" t="s">
        <v>286</v>
      </c>
      <c r="C281" s="77">
        <v>831</v>
      </c>
      <c r="D281" s="3">
        <v>40468.9</v>
      </c>
    </row>
    <row r="282" spans="1:4" s="17" customFormat="1" ht="25.5">
      <c r="A282" s="78" t="s">
        <v>114</v>
      </c>
      <c r="B282" s="37" t="s">
        <v>281</v>
      </c>
      <c r="C282" s="79"/>
      <c r="D282" s="3">
        <f t="shared" ref="D282:D283" si="37">D283</f>
        <v>1824193.22</v>
      </c>
    </row>
    <row r="283" spans="1:4" s="5" customFormat="1" ht="25.5">
      <c r="A283" s="27" t="s">
        <v>86</v>
      </c>
      <c r="B283" s="37" t="s">
        <v>281</v>
      </c>
      <c r="C283" s="49">
        <v>200</v>
      </c>
      <c r="D283" s="3">
        <f t="shared" si="37"/>
        <v>1824193.22</v>
      </c>
    </row>
    <row r="284" spans="1:4" s="5" customFormat="1" ht="25.5">
      <c r="A284" s="27" t="s">
        <v>67</v>
      </c>
      <c r="B284" s="37" t="s">
        <v>281</v>
      </c>
      <c r="C284" s="49">
        <v>240</v>
      </c>
      <c r="D284" s="3">
        <f>D285</f>
        <v>1824193.22</v>
      </c>
    </row>
    <row r="285" spans="1:4" s="5" customFormat="1" ht="12.75">
      <c r="A285" s="27" t="s">
        <v>102</v>
      </c>
      <c r="B285" s="37" t="s">
        <v>281</v>
      </c>
      <c r="C285" s="49">
        <v>244</v>
      </c>
      <c r="D285" s="3">
        <v>1824193.22</v>
      </c>
    </row>
    <row r="286" spans="1:4" s="17" customFormat="1" ht="67.5">
      <c r="A286" s="13" t="s">
        <v>241</v>
      </c>
      <c r="B286" s="14" t="s">
        <v>11</v>
      </c>
      <c r="C286" s="80"/>
      <c r="D286" s="16">
        <f>D287+D292+D307+D312</f>
        <v>6344182.7000000002</v>
      </c>
    </row>
    <row r="287" spans="1:4" s="32" customFormat="1" ht="12.75">
      <c r="A287" s="81" t="s">
        <v>265</v>
      </c>
      <c r="B287" s="82" t="s">
        <v>34</v>
      </c>
      <c r="C287" s="83"/>
      <c r="D287" s="12">
        <f>D288</f>
        <v>35000</v>
      </c>
    </row>
    <row r="288" spans="1:4" s="5" customFormat="1" ht="25.5">
      <c r="A288" s="84" t="s">
        <v>71</v>
      </c>
      <c r="B288" s="85" t="s">
        <v>35</v>
      </c>
      <c r="C288" s="48"/>
      <c r="D288" s="3">
        <f>D290</f>
        <v>35000</v>
      </c>
    </row>
    <row r="289" spans="1:4" s="5" customFormat="1" ht="25.5">
      <c r="A289" s="27" t="s">
        <v>86</v>
      </c>
      <c r="B289" s="85" t="s">
        <v>35</v>
      </c>
      <c r="C289" s="48">
        <v>200</v>
      </c>
      <c r="D289" s="3">
        <f>D290</f>
        <v>35000</v>
      </c>
    </row>
    <row r="290" spans="1:4" s="17" customFormat="1" ht="25.5">
      <c r="A290" s="27" t="s">
        <v>67</v>
      </c>
      <c r="B290" s="85" t="s">
        <v>35</v>
      </c>
      <c r="C290" s="48">
        <v>240</v>
      </c>
      <c r="D290" s="3">
        <f>D291</f>
        <v>35000</v>
      </c>
    </row>
    <row r="291" spans="1:4" s="17" customFormat="1" ht="12.75">
      <c r="A291" s="67" t="s">
        <v>24</v>
      </c>
      <c r="B291" s="85" t="s">
        <v>35</v>
      </c>
      <c r="C291" s="48">
        <v>244</v>
      </c>
      <c r="D291" s="3">
        <v>35000</v>
      </c>
    </row>
    <row r="292" spans="1:4" s="5" customFormat="1" ht="25.5">
      <c r="A292" s="84" t="s">
        <v>266</v>
      </c>
      <c r="B292" s="85" t="s">
        <v>39</v>
      </c>
      <c r="C292" s="48"/>
      <c r="D292" s="86">
        <f>D293+D301+D297</f>
        <v>5471632.7000000002</v>
      </c>
    </row>
    <row r="293" spans="1:4" s="17" customFormat="1" ht="12.75">
      <c r="A293" s="25" t="s">
        <v>415</v>
      </c>
      <c r="B293" s="26" t="s">
        <v>378</v>
      </c>
      <c r="C293" s="80"/>
      <c r="D293" s="3">
        <f t="shared" ref="D293:D295" si="38">D294</f>
        <v>2814967.55</v>
      </c>
    </row>
    <row r="294" spans="1:4" s="17" customFormat="1" ht="25.5">
      <c r="A294" s="27" t="s">
        <v>86</v>
      </c>
      <c r="B294" s="26" t="s">
        <v>378</v>
      </c>
      <c r="C294" s="49" t="s">
        <v>111</v>
      </c>
      <c r="D294" s="3">
        <f t="shared" si="38"/>
        <v>2814967.55</v>
      </c>
    </row>
    <row r="295" spans="1:4" s="17" customFormat="1" ht="25.5">
      <c r="A295" s="27" t="s">
        <v>67</v>
      </c>
      <c r="B295" s="26" t="s">
        <v>378</v>
      </c>
      <c r="C295" s="49" t="s">
        <v>112</v>
      </c>
      <c r="D295" s="3">
        <f t="shared" si="38"/>
        <v>2814967.55</v>
      </c>
    </row>
    <row r="296" spans="1:4" s="17" customFormat="1" ht="12.75">
      <c r="A296" s="27" t="s">
        <v>24</v>
      </c>
      <c r="B296" s="26" t="s">
        <v>378</v>
      </c>
      <c r="C296" s="49" t="s">
        <v>70</v>
      </c>
      <c r="D296" s="3">
        <v>2814967.55</v>
      </c>
    </row>
    <row r="297" spans="1:4" s="17" customFormat="1" ht="12.75">
      <c r="A297" s="27" t="s">
        <v>516</v>
      </c>
      <c r="B297" s="19" t="s">
        <v>517</v>
      </c>
      <c r="C297" s="49"/>
      <c r="D297" s="3">
        <f>D298</f>
        <v>1193673.24</v>
      </c>
    </row>
    <row r="298" spans="1:4" s="17" customFormat="1" ht="25.5">
      <c r="A298" s="27" t="s">
        <v>86</v>
      </c>
      <c r="B298" s="19" t="s">
        <v>517</v>
      </c>
      <c r="C298" s="49">
        <v>200</v>
      </c>
      <c r="D298" s="3">
        <f>D299</f>
        <v>1193673.24</v>
      </c>
    </row>
    <row r="299" spans="1:4" s="17" customFormat="1" ht="25.5">
      <c r="A299" s="27" t="s">
        <v>67</v>
      </c>
      <c r="B299" s="19" t="s">
        <v>517</v>
      </c>
      <c r="C299" s="49">
        <v>240</v>
      </c>
      <c r="D299" s="3">
        <f>D300</f>
        <v>1193673.24</v>
      </c>
    </row>
    <row r="300" spans="1:4" s="17" customFormat="1" ht="12.75">
      <c r="A300" s="27" t="s">
        <v>24</v>
      </c>
      <c r="B300" s="19" t="s">
        <v>517</v>
      </c>
      <c r="C300" s="49">
        <v>244</v>
      </c>
      <c r="D300" s="3">
        <v>1193673.24</v>
      </c>
    </row>
    <row r="301" spans="1:4" s="5" customFormat="1" ht="25.5">
      <c r="A301" s="27" t="s">
        <v>72</v>
      </c>
      <c r="B301" s="85" t="s">
        <v>40</v>
      </c>
      <c r="C301" s="48"/>
      <c r="D301" s="3">
        <f>D302+D305</f>
        <v>1462991.91</v>
      </c>
    </row>
    <row r="302" spans="1:4" s="5" customFormat="1" ht="25.5">
      <c r="A302" s="27" t="s">
        <v>86</v>
      </c>
      <c r="B302" s="85" t="s">
        <v>40</v>
      </c>
      <c r="C302" s="48">
        <v>200</v>
      </c>
      <c r="D302" s="3">
        <f t="shared" ref="D302:D303" si="39">D303</f>
        <v>1387991.91</v>
      </c>
    </row>
    <row r="303" spans="1:4" s="5" customFormat="1" ht="25.5">
      <c r="A303" s="27" t="s">
        <v>67</v>
      </c>
      <c r="B303" s="85" t="s">
        <v>40</v>
      </c>
      <c r="C303" s="48">
        <v>240</v>
      </c>
      <c r="D303" s="3">
        <f t="shared" si="39"/>
        <v>1387991.91</v>
      </c>
    </row>
    <row r="304" spans="1:4" s="5" customFormat="1" ht="12.75">
      <c r="A304" s="67" t="s">
        <v>24</v>
      </c>
      <c r="B304" s="85" t="s">
        <v>40</v>
      </c>
      <c r="C304" s="48">
        <v>244</v>
      </c>
      <c r="D304" s="3">
        <v>1387991.91</v>
      </c>
    </row>
    <row r="305" spans="1:4" s="5" customFormat="1" ht="12.75">
      <c r="A305" s="84" t="s">
        <v>181</v>
      </c>
      <c r="B305" s="85" t="s">
        <v>40</v>
      </c>
      <c r="C305" s="48" t="s">
        <v>203</v>
      </c>
      <c r="D305" s="3">
        <f>D306</f>
        <v>75000</v>
      </c>
    </row>
    <row r="306" spans="1:4" s="5" customFormat="1" ht="12.75">
      <c r="A306" s="40" t="s">
        <v>171</v>
      </c>
      <c r="B306" s="85" t="s">
        <v>40</v>
      </c>
      <c r="C306" s="48" t="s">
        <v>238</v>
      </c>
      <c r="D306" s="3">
        <v>75000</v>
      </c>
    </row>
    <row r="307" spans="1:4" s="5" customFormat="1" ht="12.75">
      <c r="A307" s="27" t="s">
        <v>267</v>
      </c>
      <c r="B307" s="85" t="s">
        <v>36</v>
      </c>
      <c r="C307" s="48"/>
      <c r="D307" s="3">
        <f>D311</f>
        <v>76900</v>
      </c>
    </row>
    <row r="308" spans="1:4" s="5" customFormat="1" ht="25.5">
      <c r="A308" s="27" t="s">
        <v>71</v>
      </c>
      <c r="B308" s="85" t="s">
        <v>37</v>
      </c>
      <c r="C308" s="48"/>
      <c r="D308" s="3">
        <f>D310</f>
        <v>76900</v>
      </c>
    </row>
    <row r="309" spans="1:4" s="5" customFormat="1" ht="25.5">
      <c r="A309" s="27" t="s">
        <v>86</v>
      </c>
      <c r="B309" s="85" t="s">
        <v>37</v>
      </c>
      <c r="C309" s="48">
        <v>200</v>
      </c>
      <c r="D309" s="3">
        <f t="shared" ref="D309:D310" si="40">D310</f>
        <v>76900</v>
      </c>
    </row>
    <row r="310" spans="1:4" s="5" customFormat="1" ht="25.5">
      <c r="A310" s="27" t="s">
        <v>67</v>
      </c>
      <c r="B310" s="85" t="s">
        <v>37</v>
      </c>
      <c r="C310" s="48">
        <v>240</v>
      </c>
      <c r="D310" s="3">
        <f t="shared" si="40"/>
        <v>76900</v>
      </c>
    </row>
    <row r="311" spans="1:4" s="5" customFormat="1" ht="12.75">
      <c r="A311" s="67" t="s">
        <v>24</v>
      </c>
      <c r="B311" s="85" t="s">
        <v>37</v>
      </c>
      <c r="C311" s="48">
        <v>244</v>
      </c>
      <c r="D311" s="3">
        <v>76900</v>
      </c>
    </row>
    <row r="312" spans="1:4" s="5" customFormat="1" ht="25.5">
      <c r="A312" s="40" t="s">
        <v>268</v>
      </c>
      <c r="B312" s="85" t="s">
        <v>103</v>
      </c>
      <c r="C312" s="48"/>
      <c r="D312" s="3">
        <f>D320+D313</f>
        <v>760650</v>
      </c>
    </row>
    <row r="313" spans="1:4" s="5" customFormat="1" ht="12.75">
      <c r="A313" s="27" t="s">
        <v>415</v>
      </c>
      <c r="B313" s="85" t="s">
        <v>514</v>
      </c>
      <c r="C313" s="48"/>
      <c r="D313" s="3">
        <f t="shared" ref="D313:D314" si="41">D314</f>
        <v>700000</v>
      </c>
    </row>
    <row r="314" spans="1:4" s="5" customFormat="1" ht="25.5">
      <c r="A314" s="27" t="s">
        <v>86</v>
      </c>
      <c r="B314" s="85" t="s">
        <v>514</v>
      </c>
      <c r="C314" s="48">
        <v>200</v>
      </c>
      <c r="D314" s="3">
        <f t="shared" si="41"/>
        <v>700000</v>
      </c>
    </row>
    <row r="315" spans="1:4" s="5" customFormat="1" ht="25.5">
      <c r="A315" s="27" t="s">
        <v>67</v>
      </c>
      <c r="B315" s="85" t="s">
        <v>514</v>
      </c>
      <c r="C315" s="48">
        <v>240</v>
      </c>
      <c r="D315" s="3">
        <f>D316</f>
        <v>700000</v>
      </c>
    </row>
    <row r="316" spans="1:4" s="5" customFormat="1" ht="12.75">
      <c r="A316" s="27" t="s">
        <v>24</v>
      </c>
      <c r="B316" s="85" t="s">
        <v>514</v>
      </c>
      <c r="C316" s="48">
        <v>244</v>
      </c>
      <c r="D316" s="3">
        <v>700000</v>
      </c>
    </row>
    <row r="317" spans="1:4" s="5" customFormat="1" ht="25.5">
      <c r="A317" s="27" t="s">
        <v>71</v>
      </c>
      <c r="B317" s="85" t="s">
        <v>38</v>
      </c>
      <c r="C317" s="48"/>
      <c r="D317" s="3">
        <f>D319</f>
        <v>60650</v>
      </c>
    </row>
    <row r="318" spans="1:4" s="5" customFormat="1" ht="25.5">
      <c r="A318" s="27" t="s">
        <v>86</v>
      </c>
      <c r="B318" s="85" t="s">
        <v>38</v>
      </c>
      <c r="C318" s="48">
        <v>200</v>
      </c>
      <c r="D318" s="3">
        <f t="shared" ref="D318:D319" si="42">D319</f>
        <v>60650</v>
      </c>
    </row>
    <row r="319" spans="1:4" s="5" customFormat="1" ht="25.5">
      <c r="A319" s="27" t="s">
        <v>67</v>
      </c>
      <c r="B319" s="85" t="s">
        <v>38</v>
      </c>
      <c r="C319" s="48">
        <v>240</v>
      </c>
      <c r="D319" s="3">
        <f t="shared" si="42"/>
        <v>60650</v>
      </c>
    </row>
    <row r="320" spans="1:4" s="5" customFormat="1" ht="12.75">
      <c r="A320" s="67" t="s">
        <v>24</v>
      </c>
      <c r="B320" s="85" t="s">
        <v>38</v>
      </c>
      <c r="C320" s="48">
        <v>244</v>
      </c>
      <c r="D320" s="3">
        <v>60650</v>
      </c>
    </row>
    <row r="321" spans="1:4" s="17" customFormat="1" ht="40.5">
      <c r="A321" s="13" t="s">
        <v>242</v>
      </c>
      <c r="B321" s="14" t="s">
        <v>12</v>
      </c>
      <c r="C321" s="80"/>
      <c r="D321" s="16">
        <f>D322+D340</f>
        <v>12949182.490000002</v>
      </c>
    </row>
    <row r="322" spans="1:4" s="5" customFormat="1" ht="12.75">
      <c r="A322" s="40" t="s">
        <v>269</v>
      </c>
      <c r="B322" s="85" t="s">
        <v>43</v>
      </c>
      <c r="C322" s="48"/>
      <c r="D322" s="3">
        <f>D323+D336</f>
        <v>10370200.530000001</v>
      </c>
    </row>
    <row r="323" spans="1:4" s="5" customFormat="1" ht="12.75">
      <c r="A323" s="40" t="s">
        <v>73</v>
      </c>
      <c r="B323" s="85" t="s">
        <v>44</v>
      </c>
      <c r="C323" s="48"/>
      <c r="D323" s="3">
        <f>D324+D327+D331+D334</f>
        <v>3573975.5300000003</v>
      </c>
    </row>
    <row r="324" spans="1:4" s="5" customFormat="1" ht="38.25">
      <c r="A324" s="27" t="s">
        <v>88</v>
      </c>
      <c r="B324" s="85" t="s">
        <v>44</v>
      </c>
      <c r="C324" s="48">
        <v>100</v>
      </c>
      <c r="D324" s="3">
        <f t="shared" ref="D324:D325" si="43">D325</f>
        <v>488130.41</v>
      </c>
    </row>
    <row r="325" spans="1:4" s="17" customFormat="1" ht="12.75">
      <c r="A325" s="27" t="s">
        <v>74</v>
      </c>
      <c r="B325" s="85" t="s">
        <v>44</v>
      </c>
      <c r="C325" s="48">
        <v>120</v>
      </c>
      <c r="D325" s="3">
        <f t="shared" si="43"/>
        <v>488130.41</v>
      </c>
    </row>
    <row r="326" spans="1:4" s="5" customFormat="1" ht="38.25">
      <c r="A326" s="84" t="s">
        <v>22</v>
      </c>
      <c r="B326" s="85" t="s">
        <v>44</v>
      </c>
      <c r="C326" s="48">
        <v>123</v>
      </c>
      <c r="D326" s="3">
        <v>488130.41</v>
      </c>
    </row>
    <row r="327" spans="1:4" s="21" customFormat="1" ht="25.5">
      <c r="A327" s="27" t="s">
        <v>86</v>
      </c>
      <c r="B327" s="85" t="s">
        <v>44</v>
      </c>
      <c r="C327" s="48">
        <v>200</v>
      </c>
      <c r="D327" s="3">
        <f>D328</f>
        <v>1585197.12</v>
      </c>
    </row>
    <row r="328" spans="1:4" s="21" customFormat="1" ht="25.5">
      <c r="A328" s="27" t="s">
        <v>67</v>
      </c>
      <c r="B328" s="85" t="s">
        <v>44</v>
      </c>
      <c r="C328" s="48">
        <v>240</v>
      </c>
      <c r="D328" s="3">
        <f>D329+D330</f>
        <v>1585197.12</v>
      </c>
    </row>
    <row r="329" spans="1:4" s="21" customFormat="1" ht="12.75">
      <c r="A329" s="67" t="s">
        <v>24</v>
      </c>
      <c r="B329" s="85" t="s">
        <v>44</v>
      </c>
      <c r="C329" s="48">
        <v>244</v>
      </c>
      <c r="D329" s="3">
        <v>1250040.3700000001</v>
      </c>
    </row>
    <row r="330" spans="1:4" s="21" customFormat="1" ht="12.75">
      <c r="A330" s="27" t="s">
        <v>509</v>
      </c>
      <c r="B330" s="37" t="s">
        <v>44</v>
      </c>
      <c r="C330" s="87">
        <v>247</v>
      </c>
      <c r="D330" s="24">
        <v>335156.75</v>
      </c>
    </row>
    <row r="331" spans="1:4" s="5" customFormat="1" ht="25.5">
      <c r="A331" s="38" t="s">
        <v>87</v>
      </c>
      <c r="B331" s="85" t="s">
        <v>44</v>
      </c>
      <c r="C331" s="48">
        <v>600</v>
      </c>
      <c r="D331" s="3">
        <f t="shared" ref="D331:D332" si="44">D332</f>
        <v>1500000</v>
      </c>
    </row>
    <row r="332" spans="1:4" s="5" customFormat="1" ht="12.75">
      <c r="A332" s="38" t="s">
        <v>54</v>
      </c>
      <c r="B332" s="85" t="s">
        <v>44</v>
      </c>
      <c r="C332" s="48">
        <v>610</v>
      </c>
      <c r="D332" s="3">
        <f t="shared" si="44"/>
        <v>1500000</v>
      </c>
    </row>
    <row r="333" spans="1:4" s="5" customFormat="1" ht="12.75">
      <c r="A333" s="67" t="s">
        <v>2</v>
      </c>
      <c r="B333" s="85" t="s">
        <v>44</v>
      </c>
      <c r="C333" s="48">
        <v>612</v>
      </c>
      <c r="D333" s="3">
        <f>1552000-52000</f>
        <v>1500000</v>
      </c>
    </row>
    <row r="334" spans="1:4" s="5" customFormat="1" ht="12.75">
      <c r="A334" s="67" t="s">
        <v>181</v>
      </c>
      <c r="B334" s="85" t="s">
        <v>44</v>
      </c>
      <c r="C334" s="48">
        <v>800</v>
      </c>
      <c r="D334" s="3">
        <f>D335</f>
        <v>648</v>
      </c>
    </row>
    <row r="335" spans="1:4" s="5" customFormat="1" ht="12.75">
      <c r="A335" s="67" t="s">
        <v>171</v>
      </c>
      <c r="B335" s="85" t="s">
        <v>44</v>
      </c>
      <c r="C335" s="48">
        <v>850</v>
      </c>
      <c r="D335" s="3">
        <v>648</v>
      </c>
    </row>
    <row r="336" spans="1:4" s="5" customFormat="1" ht="12.75">
      <c r="A336" s="67" t="s">
        <v>488</v>
      </c>
      <c r="B336" s="85" t="s">
        <v>487</v>
      </c>
      <c r="C336" s="48"/>
      <c r="D336" s="3">
        <f t="shared" ref="D336:D337" si="45">D337</f>
        <v>6796225</v>
      </c>
    </row>
    <row r="337" spans="1:4" s="5" customFormat="1" ht="25.5">
      <c r="A337" s="67" t="s">
        <v>86</v>
      </c>
      <c r="B337" s="85" t="s">
        <v>487</v>
      </c>
      <c r="C337" s="48">
        <v>200</v>
      </c>
      <c r="D337" s="3">
        <f t="shared" si="45"/>
        <v>6796225</v>
      </c>
    </row>
    <row r="338" spans="1:4" s="5" customFormat="1" ht="25.5">
      <c r="A338" s="67" t="s">
        <v>67</v>
      </c>
      <c r="B338" s="85" t="s">
        <v>487</v>
      </c>
      <c r="C338" s="48">
        <v>240</v>
      </c>
      <c r="D338" s="3">
        <f>D339</f>
        <v>6796225</v>
      </c>
    </row>
    <row r="339" spans="1:4" s="5" customFormat="1" ht="12.75">
      <c r="A339" s="67" t="s">
        <v>24</v>
      </c>
      <c r="B339" s="85" t="s">
        <v>487</v>
      </c>
      <c r="C339" s="48">
        <v>244</v>
      </c>
      <c r="D339" s="3">
        <v>6796225</v>
      </c>
    </row>
    <row r="340" spans="1:4" s="17" customFormat="1" ht="12.75">
      <c r="A340" s="27" t="s">
        <v>270</v>
      </c>
      <c r="B340" s="85" t="s">
        <v>41</v>
      </c>
      <c r="C340" s="48"/>
      <c r="D340" s="3">
        <f>D344+D363+D347+D355+D351+D341</f>
        <v>2578981.96</v>
      </c>
    </row>
    <row r="341" spans="1:4" s="17" customFormat="1" ht="38.25">
      <c r="A341" s="27" t="s">
        <v>88</v>
      </c>
      <c r="B341" s="85" t="s">
        <v>42</v>
      </c>
      <c r="C341" s="48">
        <v>100</v>
      </c>
      <c r="D341" s="3">
        <f>D342</f>
        <v>16665.3</v>
      </c>
    </row>
    <row r="342" spans="1:4" s="17" customFormat="1" ht="12.75">
      <c r="A342" s="27" t="s">
        <v>68</v>
      </c>
      <c r="B342" s="85" t="s">
        <v>42</v>
      </c>
      <c r="C342" s="48">
        <v>120</v>
      </c>
      <c r="D342" s="3">
        <f>D343</f>
        <v>16665.3</v>
      </c>
    </row>
    <row r="343" spans="1:4" s="17" customFormat="1" ht="38.25">
      <c r="A343" s="27" t="s">
        <v>326</v>
      </c>
      <c r="B343" s="85" t="s">
        <v>42</v>
      </c>
      <c r="C343" s="48">
        <v>123</v>
      </c>
      <c r="D343" s="3">
        <v>16665.3</v>
      </c>
    </row>
    <row r="344" spans="1:4" s="5" customFormat="1" ht="25.5">
      <c r="A344" s="27" t="s">
        <v>86</v>
      </c>
      <c r="B344" s="85" t="s">
        <v>42</v>
      </c>
      <c r="C344" s="48">
        <v>200</v>
      </c>
      <c r="D344" s="3">
        <f t="shared" ref="D344:D365" si="46">D345</f>
        <v>240334.7</v>
      </c>
    </row>
    <row r="345" spans="1:4" s="5" customFormat="1" ht="25.5">
      <c r="A345" s="27" t="s">
        <v>67</v>
      </c>
      <c r="B345" s="85" t="s">
        <v>42</v>
      </c>
      <c r="C345" s="48">
        <v>240</v>
      </c>
      <c r="D345" s="3">
        <f t="shared" si="46"/>
        <v>240334.7</v>
      </c>
    </row>
    <row r="346" spans="1:4" s="5" customFormat="1" ht="12.75">
      <c r="A346" s="89" t="s">
        <v>24</v>
      </c>
      <c r="B346" s="85" t="s">
        <v>42</v>
      </c>
      <c r="C346" s="48">
        <v>244</v>
      </c>
      <c r="D346" s="3">
        <f>257000-16665.3</f>
        <v>240334.7</v>
      </c>
    </row>
    <row r="347" spans="1:4" s="5" customFormat="1" ht="25.5">
      <c r="A347" s="89" t="s">
        <v>416</v>
      </c>
      <c r="B347" s="85" t="s">
        <v>338</v>
      </c>
      <c r="C347" s="48"/>
      <c r="D347" s="3">
        <f>D348</f>
        <v>0</v>
      </c>
    </row>
    <row r="348" spans="1:4" s="5" customFormat="1" ht="25.5">
      <c r="A348" s="89" t="s">
        <v>86</v>
      </c>
      <c r="B348" s="85" t="s">
        <v>338</v>
      </c>
      <c r="C348" s="48">
        <v>200</v>
      </c>
      <c r="D348" s="3">
        <f>D349</f>
        <v>0</v>
      </c>
    </row>
    <row r="349" spans="1:4" s="5" customFormat="1" ht="25.5">
      <c r="A349" s="89" t="s">
        <v>236</v>
      </c>
      <c r="B349" s="85" t="s">
        <v>338</v>
      </c>
      <c r="C349" s="48">
        <v>240</v>
      </c>
      <c r="D349" s="3">
        <f>D350</f>
        <v>0</v>
      </c>
    </row>
    <row r="350" spans="1:4" s="5" customFormat="1" ht="12.75">
      <c r="A350" s="89" t="s">
        <v>102</v>
      </c>
      <c r="B350" s="85" t="s">
        <v>338</v>
      </c>
      <c r="C350" s="48">
        <v>244</v>
      </c>
      <c r="D350" s="3">
        <v>0</v>
      </c>
    </row>
    <row r="351" spans="1:4" s="5" customFormat="1" ht="25.5">
      <c r="A351" s="89" t="s">
        <v>513</v>
      </c>
      <c r="B351" s="85" t="s">
        <v>512</v>
      </c>
      <c r="C351" s="48"/>
      <c r="D351" s="3">
        <f t="shared" ref="D351:D352" si="47">D352</f>
        <v>1499999</v>
      </c>
    </row>
    <row r="352" spans="1:4" s="5" customFormat="1" ht="25.5">
      <c r="A352" s="89" t="s">
        <v>86</v>
      </c>
      <c r="B352" s="85" t="s">
        <v>512</v>
      </c>
      <c r="C352" s="48">
        <v>200</v>
      </c>
      <c r="D352" s="3">
        <f t="shared" si="47"/>
        <v>1499999</v>
      </c>
    </row>
    <row r="353" spans="1:4" s="5" customFormat="1" ht="25.5">
      <c r="A353" s="89" t="s">
        <v>67</v>
      </c>
      <c r="B353" s="85" t="s">
        <v>512</v>
      </c>
      <c r="C353" s="48">
        <v>240</v>
      </c>
      <c r="D353" s="3">
        <f>D354</f>
        <v>1499999</v>
      </c>
    </row>
    <row r="354" spans="1:4" s="5" customFormat="1" ht="12.75">
      <c r="A354" s="89" t="s">
        <v>24</v>
      </c>
      <c r="B354" s="85" t="s">
        <v>512</v>
      </c>
      <c r="C354" s="48">
        <v>244</v>
      </c>
      <c r="D354" s="3">
        <v>1499999</v>
      </c>
    </row>
    <row r="355" spans="1:4" s="5" customFormat="1" ht="25.5">
      <c r="A355" s="89" t="s">
        <v>511</v>
      </c>
      <c r="B355" s="85" t="s">
        <v>510</v>
      </c>
      <c r="C355" s="48"/>
      <c r="D355" s="3">
        <f>D360+D356</f>
        <v>821982.96000000008</v>
      </c>
    </row>
    <row r="356" spans="1:4" s="5" customFormat="1" ht="38.25">
      <c r="A356" s="89" t="s">
        <v>88</v>
      </c>
      <c r="B356" s="85" t="s">
        <v>510</v>
      </c>
      <c r="C356" s="48">
        <v>100</v>
      </c>
      <c r="D356" s="3">
        <f>D357</f>
        <v>185174.39999999999</v>
      </c>
    </row>
    <row r="357" spans="1:4" s="5" customFormat="1" ht="12.75">
      <c r="A357" s="89" t="s">
        <v>74</v>
      </c>
      <c r="B357" s="85" t="s">
        <v>510</v>
      </c>
      <c r="C357" s="48">
        <v>120</v>
      </c>
      <c r="D357" s="3">
        <f>D358+D359</f>
        <v>185174.39999999999</v>
      </c>
    </row>
    <row r="358" spans="1:4" s="5" customFormat="1" ht="12.75">
      <c r="A358" s="89" t="s">
        <v>9</v>
      </c>
      <c r="B358" s="85" t="s">
        <v>510</v>
      </c>
      <c r="C358" s="48">
        <v>121</v>
      </c>
      <c r="D358" s="3">
        <f>78750.29+63472.76</f>
        <v>142223.04999999999</v>
      </c>
    </row>
    <row r="359" spans="1:4" s="5" customFormat="1" ht="38.25">
      <c r="A359" s="89" t="s">
        <v>8</v>
      </c>
      <c r="B359" s="85" t="s">
        <v>510</v>
      </c>
      <c r="C359" s="48">
        <v>129</v>
      </c>
      <c r="D359" s="3">
        <f>23782.59+19168.76</f>
        <v>42951.35</v>
      </c>
    </row>
    <row r="360" spans="1:4" s="5" customFormat="1" ht="25.5">
      <c r="A360" s="89" t="s">
        <v>87</v>
      </c>
      <c r="B360" s="85" t="s">
        <v>510</v>
      </c>
      <c r="C360" s="48">
        <v>600</v>
      </c>
      <c r="D360" s="3">
        <f>D361</f>
        <v>636808.56000000006</v>
      </c>
    </row>
    <row r="361" spans="1:4" s="5" customFormat="1" ht="12.75">
      <c r="A361" s="89" t="s">
        <v>54</v>
      </c>
      <c r="B361" s="85" t="s">
        <v>510</v>
      </c>
      <c r="C361" s="48">
        <v>610</v>
      </c>
      <c r="D361" s="3">
        <f>D362</f>
        <v>636808.56000000006</v>
      </c>
    </row>
    <row r="362" spans="1:4" s="5" customFormat="1" ht="12.75">
      <c r="A362" s="89" t="s">
        <v>2</v>
      </c>
      <c r="B362" s="85" t="s">
        <v>510</v>
      </c>
      <c r="C362" s="48">
        <v>612</v>
      </c>
      <c r="D362" s="3">
        <f>674946.39+27776.16-65913.99</f>
        <v>636808.56000000006</v>
      </c>
    </row>
    <row r="363" spans="1:4" s="5" customFormat="1" ht="12.75">
      <c r="A363" s="27" t="s">
        <v>253</v>
      </c>
      <c r="B363" s="37" t="s">
        <v>252</v>
      </c>
      <c r="C363" s="49"/>
      <c r="D363" s="3">
        <f t="shared" si="46"/>
        <v>0</v>
      </c>
    </row>
    <row r="364" spans="1:4" s="5" customFormat="1" ht="25.5">
      <c r="A364" s="27" t="s">
        <v>87</v>
      </c>
      <c r="B364" s="37" t="s">
        <v>252</v>
      </c>
      <c r="C364" s="49">
        <v>600</v>
      </c>
      <c r="D364" s="3">
        <f t="shared" si="46"/>
        <v>0</v>
      </c>
    </row>
    <row r="365" spans="1:4" s="5" customFormat="1" ht="12.75">
      <c r="A365" s="27" t="s">
        <v>54</v>
      </c>
      <c r="B365" s="37" t="s">
        <v>252</v>
      </c>
      <c r="C365" s="49">
        <v>610</v>
      </c>
      <c r="D365" s="3">
        <f t="shared" si="46"/>
        <v>0</v>
      </c>
    </row>
    <row r="366" spans="1:4" s="5" customFormat="1" ht="12.75">
      <c r="A366" s="27" t="s">
        <v>2</v>
      </c>
      <c r="B366" s="37" t="s">
        <v>252</v>
      </c>
      <c r="C366" s="49">
        <v>612</v>
      </c>
      <c r="D366" s="3"/>
    </row>
    <row r="367" spans="1:4" s="17" customFormat="1" ht="27">
      <c r="A367" s="13" t="s">
        <v>243</v>
      </c>
      <c r="B367" s="14" t="s">
        <v>13</v>
      </c>
      <c r="C367" s="15"/>
      <c r="D367" s="16">
        <f>D368+D372</f>
        <v>8354753.0600000005</v>
      </c>
    </row>
    <row r="368" spans="1:4" s="17" customFormat="1" ht="12.75">
      <c r="A368" s="25" t="s">
        <v>415</v>
      </c>
      <c r="B368" s="26" t="s">
        <v>379</v>
      </c>
      <c r="C368" s="15"/>
      <c r="D368" s="3">
        <f t="shared" ref="D368:D370" si="48">D369</f>
        <v>4999031.7</v>
      </c>
    </row>
    <row r="369" spans="1:4" s="17" customFormat="1" ht="25.5">
      <c r="A369" s="27" t="s">
        <v>86</v>
      </c>
      <c r="B369" s="26" t="s">
        <v>379</v>
      </c>
      <c r="C369" s="23" t="s">
        <v>111</v>
      </c>
      <c r="D369" s="3">
        <f t="shared" si="48"/>
        <v>4999031.7</v>
      </c>
    </row>
    <row r="370" spans="1:4" s="17" customFormat="1" ht="25.5">
      <c r="A370" s="27" t="s">
        <v>67</v>
      </c>
      <c r="B370" s="26" t="s">
        <v>379</v>
      </c>
      <c r="C370" s="23" t="s">
        <v>112</v>
      </c>
      <c r="D370" s="3">
        <f t="shared" si="48"/>
        <v>4999031.7</v>
      </c>
    </row>
    <row r="371" spans="1:4" s="17" customFormat="1" ht="12.75">
      <c r="A371" s="27" t="s">
        <v>24</v>
      </c>
      <c r="B371" s="26" t="s">
        <v>379</v>
      </c>
      <c r="C371" s="23" t="s">
        <v>70</v>
      </c>
      <c r="D371" s="3">
        <v>4999031.7</v>
      </c>
    </row>
    <row r="372" spans="1:4" s="17" customFormat="1" ht="25.5">
      <c r="A372" s="84" t="s">
        <v>519</v>
      </c>
      <c r="B372" s="85" t="s">
        <v>45</v>
      </c>
      <c r="C372" s="90"/>
      <c r="D372" s="24">
        <f>D373+D376</f>
        <v>3355721.36</v>
      </c>
    </row>
    <row r="373" spans="1:4" s="17" customFormat="1" ht="25.5">
      <c r="A373" s="84" t="s">
        <v>86</v>
      </c>
      <c r="B373" s="85" t="s">
        <v>45</v>
      </c>
      <c r="C373" s="90">
        <v>200</v>
      </c>
      <c r="D373" s="24">
        <f>D374</f>
        <v>3355721.36</v>
      </c>
    </row>
    <row r="374" spans="1:4" s="17" customFormat="1" ht="25.5">
      <c r="A374" s="84" t="s">
        <v>236</v>
      </c>
      <c r="B374" s="85" t="s">
        <v>45</v>
      </c>
      <c r="C374" s="90">
        <v>240</v>
      </c>
      <c r="D374" s="24">
        <f>D375</f>
        <v>3355721.36</v>
      </c>
    </row>
    <row r="375" spans="1:4" s="17" customFormat="1" ht="12.75">
      <c r="A375" s="84" t="s">
        <v>102</v>
      </c>
      <c r="B375" s="85" t="s">
        <v>45</v>
      </c>
      <c r="C375" s="90">
        <v>244</v>
      </c>
      <c r="D375" s="24">
        <f>2487459+857288.8+160962.36-149988.8</f>
        <v>3355721.36</v>
      </c>
    </row>
    <row r="376" spans="1:4" s="5" customFormat="1" ht="12.75">
      <c r="A376" s="27" t="s">
        <v>89</v>
      </c>
      <c r="B376" s="85" t="s">
        <v>45</v>
      </c>
      <c r="C376" s="76">
        <v>800</v>
      </c>
      <c r="D376" s="91">
        <f>D377</f>
        <v>0</v>
      </c>
    </row>
    <row r="377" spans="1:4" s="5" customFormat="1" ht="12.75">
      <c r="A377" s="40" t="s">
        <v>184</v>
      </c>
      <c r="B377" s="85" t="s">
        <v>45</v>
      </c>
      <c r="C377" s="23" t="s">
        <v>185</v>
      </c>
      <c r="D377" s="92">
        <v>0</v>
      </c>
    </row>
    <row r="378" spans="1:4" s="17" customFormat="1" ht="27">
      <c r="A378" s="13" t="s">
        <v>244</v>
      </c>
      <c r="B378" s="14" t="s">
        <v>14</v>
      </c>
      <c r="C378" s="15"/>
      <c r="D378" s="16">
        <f>D379+D388+D393+D397+D383+D401</f>
        <v>27525461.82</v>
      </c>
    </row>
    <row r="379" spans="1:4" s="21" customFormat="1" ht="25.5">
      <c r="A379" s="40" t="s">
        <v>380</v>
      </c>
      <c r="B379" s="37" t="s">
        <v>381</v>
      </c>
      <c r="C379" s="93"/>
      <c r="D379" s="24">
        <f>D380</f>
        <v>17562367.710000001</v>
      </c>
    </row>
    <row r="380" spans="1:4" s="21" customFormat="1" ht="25.5">
      <c r="A380" s="27" t="s">
        <v>86</v>
      </c>
      <c r="B380" s="37" t="s">
        <v>381</v>
      </c>
      <c r="C380" s="94" t="s">
        <v>111</v>
      </c>
      <c r="D380" s="24">
        <f>D381</f>
        <v>17562367.710000001</v>
      </c>
    </row>
    <row r="381" spans="1:4" s="21" customFormat="1" ht="25.5">
      <c r="A381" s="27" t="s">
        <v>67</v>
      </c>
      <c r="B381" s="37" t="s">
        <v>381</v>
      </c>
      <c r="C381" s="94" t="s">
        <v>112</v>
      </c>
      <c r="D381" s="24">
        <f>D382</f>
        <v>17562367.710000001</v>
      </c>
    </row>
    <row r="382" spans="1:4" s="21" customFormat="1" ht="12.75">
      <c r="A382" s="27" t="s">
        <v>24</v>
      </c>
      <c r="B382" s="37" t="s">
        <v>381</v>
      </c>
      <c r="C382" s="94" t="s">
        <v>70</v>
      </c>
      <c r="D382" s="3">
        <v>17562367.710000001</v>
      </c>
    </row>
    <row r="383" spans="1:4" s="21" customFormat="1" ht="38.25">
      <c r="A383" s="27" t="s">
        <v>469</v>
      </c>
      <c r="B383" s="158" t="s">
        <v>468</v>
      </c>
      <c r="C383" s="94"/>
      <c r="D383" s="3">
        <f>D384</f>
        <v>2903456.95</v>
      </c>
    </row>
    <row r="384" spans="1:4" s="21" customFormat="1" ht="25.5">
      <c r="A384" s="27" t="s">
        <v>86</v>
      </c>
      <c r="B384" s="158" t="s">
        <v>468</v>
      </c>
      <c r="C384" s="94" t="s">
        <v>111</v>
      </c>
      <c r="D384" s="3">
        <f>D385</f>
        <v>2903456.95</v>
      </c>
    </row>
    <row r="385" spans="1:4" s="21" customFormat="1" ht="25.5">
      <c r="A385" s="27" t="s">
        <v>67</v>
      </c>
      <c r="B385" s="158" t="s">
        <v>468</v>
      </c>
      <c r="C385" s="94" t="s">
        <v>112</v>
      </c>
      <c r="D385" s="3">
        <f>D387+D386</f>
        <v>2903456.95</v>
      </c>
    </row>
    <row r="386" spans="1:4" s="21" customFormat="1" ht="25.5">
      <c r="A386" s="65" t="s">
        <v>382</v>
      </c>
      <c r="B386" s="158" t="s">
        <v>468</v>
      </c>
      <c r="C386" s="94" t="s">
        <v>383</v>
      </c>
      <c r="D386" s="3">
        <v>2130064.35</v>
      </c>
    </row>
    <row r="387" spans="1:4" s="21" customFormat="1" ht="12.75">
      <c r="A387" s="27" t="s">
        <v>24</v>
      </c>
      <c r="B387" s="158" t="s">
        <v>468</v>
      </c>
      <c r="C387" s="94" t="s">
        <v>70</v>
      </c>
      <c r="D387" s="3">
        <v>773392.6</v>
      </c>
    </row>
    <row r="388" spans="1:4" s="5" customFormat="1" ht="12.75">
      <c r="A388" s="40" t="s">
        <v>75</v>
      </c>
      <c r="B388" s="85" t="s">
        <v>46</v>
      </c>
      <c r="C388" s="35"/>
      <c r="D388" s="3">
        <f>D390</f>
        <v>1874086.4500000002</v>
      </c>
    </row>
    <row r="389" spans="1:4" s="5" customFormat="1" ht="25.5">
      <c r="A389" s="27" t="s">
        <v>86</v>
      </c>
      <c r="B389" s="85" t="s">
        <v>46</v>
      </c>
      <c r="C389" s="48">
        <v>200</v>
      </c>
      <c r="D389" s="3">
        <f>D390</f>
        <v>1874086.4500000002</v>
      </c>
    </row>
    <row r="390" spans="1:4" s="5" customFormat="1" ht="25.5">
      <c r="A390" s="27" t="s">
        <v>67</v>
      </c>
      <c r="B390" s="85" t="s">
        <v>46</v>
      </c>
      <c r="C390" s="48">
        <v>240</v>
      </c>
      <c r="D390" s="3">
        <f>D392+D391</f>
        <v>1874086.4500000002</v>
      </c>
    </row>
    <row r="391" spans="1:4" s="5" customFormat="1" ht="25.5">
      <c r="A391" s="65" t="s">
        <v>382</v>
      </c>
      <c r="B391" s="37" t="s">
        <v>46</v>
      </c>
      <c r="C391" s="49" t="s">
        <v>383</v>
      </c>
      <c r="D391" s="3">
        <f>1252060.86-285902.58</f>
        <v>966158.28</v>
      </c>
    </row>
    <row r="392" spans="1:4" s="5" customFormat="1" ht="12.75">
      <c r="A392" s="67" t="s">
        <v>24</v>
      </c>
      <c r="B392" s="85" t="s">
        <v>46</v>
      </c>
      <c r="C392" s="48">
        <v>244</v>
      </c>
      <c r="D392" s="3">
        <v>907928.17</v>
      </c>
    </row>
    <row r="393" spans="1:4" s="5" customFormat="1" ht="51">
      <c r="A393" s="40" t="s">
        <v>384</v>
      </c>
      <c r="B393" s="37" t="s">
        <v>386</v>
      </c>
      <c r="C393" s="23"/>
      <c r="D393" s="24">
        <f t="shared" ref="D393:D395" si="49">D394</f>
        <v>4994404.75</v>
      </c>
    </row>
    <row r="394" spans="1:4" s="5" customFormat="1" ht="12.75">
      <c r="A394" s="40" t="s">
        <v>181</v>
      </c>
      <c r="B394" s="37" t="s">
        <v>386</v>
      </c>
      <c r="C394" s="23" t="s">
        <v>203</v>
      </c>
      <c r="D394" s="24">
        <f t="shared" si="49"/>
        <v>4994404.75</v>
      </c>
    </row>
    <row r="395" spans="1:4" s="5" customFormat="1" ht="38.25">
      <c r="A395" s="40" t="s">
        <v>221</v>
      </c>
      <c r="B395" s="37" t="s">
        <v>386</v>
      </c>
      <c r="C395" s="23" t="s">
        <v>222</v>
      </c>
      <c r="D395" s="24">
        <f t="shared" si="49"/>
        <v>4994404.75</v>
      </c>
    </row>
    <row r="396" spans="1:4" s="5" customFormat="1" ht="38.25">
      <c r="A396" s="27" t="s">
        <v>223</v>
      </c>
      <c r="B396" s="37" t="s">
        <v>386</v>
      </c>
      <c r="C396" s="28" t="s">
        <v>224</v>
      </c>
      <c r="D396" s="24">
        <v>4994404.75</v>
      </c>
    </row>
    <row r="397" spans="1:4" s="5" customFormat="1" ht="89.25">
      <c r="A397" s="40" t="s">
        <v>385</v>
      </c>
      <c r="B397" s="37" t="s">
        <v>387</v>
      </c>
      <c r="C397" s="23"/>
      <c r="D397" s="24">
        <f t="shared" ref="D397:D399" si="50">D398</f>
        <v>93840</v>
      </c>
    </row>
    <row r="398" spans="1:4" s="5" customFormat="1" ht="12.75">
      <c r="A398" s="40" t="s">
        <v>181</v>
      </c>
      <c r="B398" s="37" t="s">
        <v>387</v>
      </c>
      <c r="C398" s="23" t="s">
        <v>203</v>
      </c>
      <c r="D398" s="24">
        <f t="shared" si="50"/>
        <v>93840</v>
      </c>
    </row>
    <row r="399" spans="1:4" s="5" customFormat="1" ht="38.25">
      <c r="A399" s="40" t="s">
        <v>221</v>
      </c>
      <c r="B399" s="37" t="s">
        <v>387</v>
      </c>
      <c r="C399" s="23" t="s">
        <v>222</v>
      </c>
      <c r="D399" s="24">
        <f t="shared" si="50"/>
        <v>93840</v>
      </c>
    </row>
    <row r="400" spans="1:4" s="5" customFormat="1" ht="38.25">
      <c r="A400" s="27" t="s">
        <v>223</v>
      </c>
      <c r="B400" s="37" t="s">
        <v>387</v>
      </c>
      <c r="C400" s="28" t="s">
        <v>224</v>
      </c>
      <c r="D400" s="24">
        <v>93840</v>
      </c>
    </row>
    <row r="401" spans="1:4" s="5" customFormat="1" ht="89.25">
      <c r="A401" s="27" t="s">
        <v>535</v>
      </c>
      <c r="B401" s="158" t="s">
        <v>534</v>
      </c>
      <c r="C401" s="28"/>
      <c r="D401" s="24">
        <f t="shared" ref="D401:D402" si="51">D402</f>
        <v>97305.96</v>
      </c>
    </row>
    <row r="402" spans="1:4" s="5" customFormat="1" ht="12.75">
      <c r="A402" s="27" t="s">
        <v>181</v>
      </c>
      <c r="B402" s="158" t="s">
        <v>534</v>
      </c>
      <c r="C402" s="28" t="s">
        <v>203</v>
      </c>
      <c r="D402" s="24">
        <f t="shared" si="51"/>
        <v>97305.96</v>
      </c>
    </row>
    <row r="403" spans="1:4" s="5" customFormat="1" ht="38.25">
      <c r="A403" s="27" t="s">
        <v>221</v>
      </c>
      <c r="B403" s="158" t="s">
        <v>534</v>
      </c>
      <c r="C403" s="28" t="s">
        <v>222</v>
      </c>
      <c r="D403" s="24">
        <f>D404</f>
        <v>97305.96</v>
      </c>
    </row>
    <row r="404" spans="1:4" s="5" customFormat="1" ht="38.25">
      <c r="A404" s="27" t="s">
        <v>223</v>
      </c>
      <c r="B404" s="158" t="s">
        <v>534</v>
      </c>
      <c r="C404" s="28" t="s">
        <v>224</v>
      </c>
      <c r="D404" s="24">
        <v>97305.96</v>
      </c>
    </row>
    <row r="405" spans="1:4" s="5" customFormat="1" ht="12.75">
      <c r="A405" s="67"/>
      <c r="B405" s="85"/>
      <c r="C405" s="35"/>
      <c r="D405" s="3"/>
    </row>
    <row r="406" spans="1:4" s="17" customFormat="1" ht="27">
      <c r="A406" s="95" t="s">
        <v>245</v>
      </c>
      <c r="B406" s="14" t="s">
        <v>15</v>
      </c>
      <c r="C406" s="15"/>
      <c r="D406" s="16">
        <f>D407</f>
        <v>35000</v>
      </c>
    </row>
    <row r="407" spans="1:4" s="5" customFormat="1" ht="12.75">
      <c r="A407" s="96" t="s">
        <v>417</v>
      </c>
      <c r="B407" s="23" t="s">
        <v>388</v>
      </c>
      <c r="C407" s="35"/>
      <c r="D407" s="97">
        <f>D409</f>
        <v>35000</v>
      </c>
    </row>
    <row r="408" spans="1:4" s="5" customFormat="1" ht="25.5">
      <c r="A408" s="38" t="s">
        <v>86</v>
      </c>
      <c r="B408" s="23" t="s">
        <v>388</v>
      </c>
      <c r="C408" s="48" t="s">
        <v>111</v>
      </c>
      <c r="D408" s="97">
        <f t="shared" ref="D408:D409" si="52">SUM(D409)</f>
        <v>35000</v>
      </c>
    </row>
    <row r="409" spans="1:4" s="5" customFormat="1" ht="25.5">
      <c r="A409" s="38" t="s">
        <v>67</v>
      </c>
      <c r="B409" s="23" t="s">
        <v>388</v>
      </c>
      <c r="C409" s="48" t="s">
        <v>112</v>
      </c>
      <c r="D409" s="97">
        <f t="shared" si="52"/>
        <v>35000</v>
      </c>
    </row>
    <row r="410" spans="1:4" s="5" customFormat="1" ht="12.75">
      <c r="A410" s="38" t="s">
        <v>24</v>
      </c>
      <c r="B410" s="23" t="s">
        <v>388</v>
      </c>
      <c r="C410" s="48" t="s">
        <v>70</v>
      </c>
      <c r="D410" s="97">
        <v>35000</v>
      </c>
    </row>
    <row r="411" spans="1:4" s="17" customFormat="1" ht="27">
      <c r="A411" s="13" t="s">
        <v>246</v>
      </c>
      <c r="B411" s="14" t="s">
        <v>16</v>
      </c>
      <c r="C411" s="80"/>
      <c r="D411" s="16">
        <f>D412</f>
        <v>2841747.36</v>
      </c>
    </row>
    <row r="412" spans="1:4" s="17" customFormat="1" ht="25.5">
      <c r="A412" s="58" t="s">
        <v>254</v>
      </c>
      <c r="B412" s="23" t="s">
        <v>255</v>
      </c>
      <c r="C412" s="48"/>
      <c r="D412" s="3">
        <f>D413</f>
        <v>2841747.36</v>
      </c>
    </row>
    <row r="413" spans="1:4" s="5" customFormat="1" ht="12.75">
      <c r="A413" s="99" t="s">
        <v>76</v>
      </c>
      <c r="B413" s="98" t="s">
        <v>483</v>
      </c>
      <c r="C413" s="48"/>
      <c r="D413" s="3">
        <f t="shared" ref="D413:D414" si="53">D414</f>
        <v>2841747.36</v>
      </c>
    </row>
    <row r="414" spans="1:4" s="5" customFormat="1" ht="12.75">
      <c r="A414" s="100" t="s">
        <v>90</v>
      </c>
      <c r="B414" s="98" t="s">
        <v>483</v>
      </c>
      <c r="C414" s="48">
        <v>300</v>
      </c>
      <c r="D414" s="3">
        <f t="shared" si="53"/>
        <v>2841747.36</v>
      </c>
    </row>
    <row r="415" spans="1:4" s="5" customFormat="1" ht="25.5">
      <c r="A415" s="99" t="s">
        <v>77</v>
      </c>
      <c r="B415" s="98" t="s">
        <v>483</v>
      </c>
      <c r="C415" s="48">
        <v>320</v>
      </c>
      <c r="D415" s="3">
        <f>D416</f>
        <v>2841747.36</v>
      </c>
    </row>
    <row r="416" spans="1:4" s="5" customFormat="1" ht="12.75">
      <c r="A416" s="100" t="s">
        <v>3</v>
      </c>
      <c r="B416" s="98" t="s">
        <v>483</v>
      </c>
      <c r="C416" s="48">
        <v>322</v>
      </c>
      <c r="D416" s="3">
        <v>2841747.36</v>
      </c>
    </row>
    <row r="417" spans="1:4" s="17" customFormat="1" ht="67.5">
      <c r="A417" s="13" t="s">
        <v>247</v>
      </c>
      <c r="B417" s="14" t="s">
        <v>17</v>
      </c>
      <c r="C417" s="80"/>
      <c r="D417" s="3">
        <f t="shared" ref="D417:D421" si="54">D418</f>
        <v>44900</v>
      </c>
    </row>
    <row r="418" spans="1:4" s="32" customFormat="1" ht="25.5">
      <c r="A418" s="101" t="s">
        <v>299</v>
      </c>
      <c r="B418" s="102" t="s">
        <v>300</v>
      </c>
      <c r="C418" s="83"/>
      <c r="D418" s="3">
        <f t="shared" si="54"/>
        <v>44900</v>
      </c>
    </row>
    <row r="419" spans="1:4" s="5" customFormat="1" ht="12.75">
      <c r="A419" s="27" t="s">
        <v>78</v>
      </c>
      <c r="B419" s="98" t="s">
        <v>301</v>
      </c>
      <c r="C419" s="48"/>
      <c r="D419" s="3">
        <f t="shared" si="54"/>
        <v>44900</v>
      </c>
    </row>
    <row r="420" spans="1:4" s="5" customFormat="1" ht="25.5">
      <c r="A420" s="27" t="s">
        <v>86</v>
      </c>
      <c r="B420" s="98" t="s">
        <v>301</v>
      </c>
      <c r="C420" s="48">
        <v>200</v>
      </c>
      <c r="D420" s="3">
        <f t="shared" si="54"/>
        <v>44900</v>
      </c>
    </row>
    <row r="421" spans="1:4" s="5" customFormat="1" ht="25.5">
      <c r="A421" s="67" t="s">
        <v>67</v>
      </c>
      <c r="B421" s="98" t="s">
        <v>301</v>
      </c>
      <c r="C421" s="48">
        <v>240</v>
      </c>
      <c r="D421" s="3">
        <f t="shared" si="54"/>
        <v>44900</v>
      </c>
    </row>
    <row r="422" spans="1:4" s="5" customFormat="1" ht="12.75">
      <c r="A422" s="27" t="s">
        <v>24</v>
      </c>
      <c r="B422" s="98" t="s">
        <v>301</v>
      </c>
      <c r="C422" s="48" t="s">
        <v>70</v>
      </c>
      <c r="D422" s="3">
        <v>44900</v>
      </c>
    </row>
    <row r="423" spans="1:4" s="17" customFormat="1" ht="27">
      <c r="A423" s="13" t="s">
        <v>248</v>
      </c>
      <c r="B423" s="14" t="s">
        <v>18</v>
      </c>
      <c r="C423" s="80"/>
      <c r="D423" s="16">
        <f>D424+D446+D471</f>
        <v>176455988.09</v>
      </c>
    </row>
    <row r="424" spans="1:4" s="32" customFormat="1" ht="12.75">
      <c r="A424" s="101" t="s">
        <v>272</v>
      </c>
      <c r="B424" s="102" t="s">
        <v>47</v>
      </c>
      <c r="C424" s="83"/>
      <c r="D424" s="12">
        <f>D425+D434+D438+D430+D442</f>
        <v>27522260.640000001</v>
      </c>
    </row>
    <row r="425" spans="1:4" s="5" customFormat="1" ht="12.75">
      <c r="A425" s="25" t="s">
        <v>56</v>
      </c>
      <c r="B425" s="103" t="s">
        <v>48</v>
      </c>
      <c r="C425" s="48"/>
      <c r="D425" s="3">
        <f>D427</f>
        <v>24713966.18</v>
      </c>
    </row>
    <row r="426" spans="1:4" s="5" customFormat="1" ht="25.5">
      <c r="A426" s="65" t="s">
        <v>87</v>
      </c>
      <c r="B426" s="103" t="s">
        <v>48</v>
      </c>
      <c r="C426" s="48">
        <v>600</v>
      </c>
      <c r="D426" s="3">
        <f>D427</f>
        <v>24713966.18</v>
      </c>
    </row>
    <row r="427" spans="1:4" s="5" customFormat="1" ht="12.75">
      <c r="A427" s="65" t="s">
        <v>54</v>
      </c>
      <c r="B427" s="103" t="s">
        <v>48</v>
      </c>
      <c r="C427" s="48">
        <v>610</v>
      </c>
      <c r="D427" s="3">
        <f>D428+D429</f>
        <v>24713966.18</v>
      </c>
    </row>
    <row r="428" spans="1:4" s="5" customFormat="1" ht="38.25">
      <c r="A428" s="67" t="s">
        <v>92</v>
      </c>
      <c r="B428" s="103" t="s">
        <v>48</v>
      </c>
      <c r="C428" s="48">
        <v>611</v>
      </c>
      <c r="D428" s="3">
        <f>24236545.23+156664.96</f>
        <v>24393210.190000001</v>
      </c>
    </row>
    <row r="429" spans="1:4" s="5" customFormat="1" ht="12.75">
      <c r="A429" s="58" t="s">
        <v>69</v>
      </c>
      <c r="B429" s="103" t="s">
        <v>48</v>
      </c>
      <c r="C429" s="48">
        <v>612</v>
      </c>
      <c r="D429" s="3">
        <v>320755.99</v>
      </c>
    </row>
    <row r="430" spans="1:4" s="5" customFormat="1" ht="38.25">
      <c r="A430" s="58" t="s">
        <v>339</v>
      </c>
      <c r="B430" s="103" t="s">
        <v>340</v>
      </c>
      <c r="C430" s="48"/>
      <c r="D430" s="3">
        <f>D431</f>
        <v>236759.26</v>
      </c>
    </row>
    <row r="431" spans="1:4" s="5" customFormat="1" ht="25.5">
      <c r="A431" s="58" t="s">
        <v>87</v>
      </c>
      <c r="B431" s="103" t="s">
        <v>340</v>
      </c>
      <c r="C431" s="48">
        <v>600</v>
      </c>
      <c r="D431" s="3">
        <f>D432</f>
        <v>236759.26</v>
      </c>
    </row>
    <row r="432" spans="1:4" s="5" customFormat="1" ht="12.75">
      <c r="A432" s="58" t="s">
        <v>54</v>
      </c>
      <c r="B432" s="103" t="s">
        <v>340</v>
      </c>
      <c r="C432" s="48">
        <v>610</v>
      </c>
      <c r="D432" s="3">
        <f>D433</f>
        <v>236759.26</v>
      </c>
    </row>
    <row r="433" spans="1:4" s="5" customFormat="1" ht="12.75">
      <c r="A433" s="58" t="s">
        <v>69</v>
      </c>
      <c r="B433" s="103" t="s">
        <v>340</v>
      </c>
      <c r="C433" s="48">
        <v>612</v>
      </c>
      <c r="D433" s="3">
        <v>236759.26</v>
      </c>
    </row>
    <row r="434" spans="1:4" s="5" customFormat="1" ht="76.5">
      <c r="A434" s="104" t="s">
        <v>493</v>
      </c>
      <c r="B434" s="23" t="s">
        <v>104</v>
      </c>
      <c r="C434" s="49"/>
      <c r="D434" s="3">
        <f>D435</f>
        <v>895621</v>
      </c>
    </row>
    <row r="435" spans="1:4" s="5" customFormat="1" ht="25.5">
      <c r="A435" s="104" t="s">
        <v>87</v>
      </c>
      <c r="B435" s="23" t="s">
        <v>104</v>
      </c>
      <c r="C435" s="49">
        <v>600</v>
      </c>
      <c r="D435" s="3">
        <f t="shared" ref="D435:D436" si="55">D436</f>
        <v>895621</v>
      </c>
    </row>
    <row r="436" spans="1:4" s="5" customFormat="1" ht="12.75">
      <c r="A436" s="104" t="s">
        <v>54</v>
      </c>
      <c r="B436" s="23" t="s">
        <v>104</v>
      </c>
      <c r="C436" s="49">
        <v>610</v>
      </c>
      <c r="D436" s="3">
        <f t="shared" si="55"/>
        <v>895621</v>
      </c>
    </row>
    <row r="437" spans="1:4" s="5" customFormat="1" ht="12.75">
      <c r="A437" s="105" t="s">
        <v>69</v>
      </c>
      <c r="B437" s="23" t="s">
        <v>104</v>
      </c>
      <c r="C437" s="49">
        <v>612</v>
      </c>
      <c r="D437" s="3">
        <v>895621</v>
      </c>
    </row>
    <row r="438" spans="1:4" s="5" customFormat="1" ht="25.5">
      <c r="A438" s="106" t="s">
        <v>491</v>
      </c>
      <c r="B438" s="103" t="s">
        <v>97</v>
      </c>
      <c r="C438" s="48"/>
      <c r="D438" s="3">
        <f t="shared" ref="D438:D439" si="56">D439</f>
        <v>165914.20000000001</v>
      </c>
    </row>
    <row r="439" spans="1:4" s="17" customFormat="1" ht="25.5">
      <c r="A439" s="22" t="s">
        <v>87</v>
      </c>
      <c r="B439" s="103" t="s">
        <v>97</v>
      </c>
      <c r="C439" s="48">
        <v>600</v>
      </c>
      <c r="D439" s="3">
        <f t="shared" si="56"/>
        <v>165914.20000000001</v>
      </c>
    </row>
    <row r="440" spans="1:4" s="5" customFormat="1" ht="12.75">
      <c r="A440" s="22" t="s">
        <v>54</v>
      </c>
      <c r="B440" s="103" t="s">
        <v>97</v>
      </c>
      <c r="C440" s="48">
        <v>610</v>
      </c>
      <c r="D440" s="3">
        <f>D441</f>
        <v>165914.20000000001</v>
      </c>
    </row>
    <row r="441" spans="1:4" s="5" customFormat="1" ht="12.75">
      <c r="A441" s="22" t="s">
        <v>69</v>
      </c>
      <c r="B441" s="103" t="s">
        <v>97</v>
      </c>
      <c r="C441" s="48">
        <v>612</v>
      </c>
      <c r="D441" s="3">
        <v>165914.20000000001</v>
      </c>
    </row>
    <row r="442" spans="1:4" s="5" customFormat="1" ht="12.75">
      <c r="A442" s="22" t="s">
        <v>415</v>
      </c>
      <c r="B442" s="103" t="s">
        <v>538</v>
      </c>
      <c r="C442" s="48"/>
      <c r="D442" s="3">
        <f t="shared" ref="D442:D443" si="57">D443</f>
        <v>1510000</v>
      </c>
    </row>
    <row r="443" spans="1:4" s="5" customFormat="1" ht="25.5">
      <c r="A443" s="22" t="s">
        <v>87</v>
      </c>
      <c r="B443" s="103" t="s">
        <v>538</v>
      </c>
      <c r="C443" s="48">
        <v>600</v>
      </c>
      <c r="D443" s="3">
        <f t="shared" si="57"/>
        <v>1510000</v>
      </c>
    </row>
    <row r="444" spans="1:4" s="5" customFormat="1" ht="12.75">
      <c r="A444" s="22" t="s">
        <v>54</v>
      </c>
      <c r="B444" s="103" t="s">
        <v>538</v>
      </c>
      <c r="C444" s="48">
        <v>610</v>
      </c>
      <c r="D444" s="3">
        <f>D445</f>
        <v>1510000</v>
      </c>
    </row>
    <row r="445" spans="1:4" s="5" customFormat="1" ht="12.75">
      <c r="A445" s="22" t="s">
        <v>69</v>
      </c>
      <c r="B445" s="103" t="s">
        <v>538</v>
      </c>
      <c r="C445" s="48">
        <v>612</v>
      </c>
      <c r="D445" s="3">
        <v>1510000</v>
      </c>
    </row>
    <row r="446" spans="1:4" s="32" customFormat="1" ht="12.75">
      <c r="A446" s="107" t="s">
        <v>271</v>
      </c>
      <c r="B446" s="102" t="s">
        <v>49</v>
      </c>
      <c r="C446" s="83"/>
      <c r="D446" s="12">
        <f>D447+D452+D456+D467+D463</f>
        <v>141676025.97</v>
      </c>
    </row>
    <row r="447" spans="1:4" s="5" customFormat="1" ht="12.75">
      <c r="A447" s="25" t="s">
        <v>56</v>
      </c>
      <c r="B447" s="103" t="s">
        <v>288</v>
      </c>
      <c r="C447" s="48"/>
      <c r="D447" s="3">
        <f t="shared" ref="D447:D448" si="58">D448</f>
        <v>61296792.68</v>
      </c>
    </row>
    <row r="448" spans="1:4" s="5" customFormat="1" ht="25.5">
      <c r="A448" s="65" t="s">
        <v>87</v>
      </c>
      <c r="B448" s="103" t="s">
        <v>288</v>
      </c>
      <c r="C448" s="48">
        <v>600</v>
      </c>
      <c r="D448" s="3">
        <f t="shared" si="58"/>
        <v>61296792.68</v>
      </c>
    </row>
    <row r="449" spans="1:4" s="5" customFormat="1" ht="12.75">
      <c r="A449" s="65" t="s">
        <v>54</v>
      </c>
      <c r="B449" s="103" t="s">
        <v>288</v>
      </c>
      <c r="C449" s="48">
        <v>610</v>
      </c>
      <c r="D449" s="3">
        <f>D450+D451</f>
        <v>61296792.68</v>
      </c>
    </row>
    <row r="450" spans="1:4" s="5" customFormat="1" ht="38.25">
      <c r="A450" s="67" t="s">
        <v>92</v>
      </c>
      <c r="B450" s="103" t="s">
        <v>288</v>
      </c>
      <c r="C450" s="48">
        <v>611</v>
      </c>
      <c r="D450" s="97">
        <v>59474208.140000001</v>
      </c>
    </row>
    <row r="451" spans="1:4" s="5" customFormat="1" ht="12.75">
      <c r="A451" s="58" t="s">
        <v>69</v>
      </c>
      <c r="B451" s="103" t="s">
        <v>288</v>
      </c>
      <c r="C451" s="48">
        <v>612</v>
      </c>
      <c r="D451" s="97">
        <v>1822584.54</v>
      </c>
    </row>
    <row r="452" spans="1:4" s="5" customFormat="1" ht="63.75">
      <c r="A452" s="104" t="s">
        <v>492</v>
      </c>
      <c r="B452" s="23" t="s">
        <v>291</v>
      </c>
      <c r="C452" s="49"/>
      <c r="D452" s="3">
        <f>D453</f>
        <v>697842.1</v>
      </c>
    </row>
    <row r="453" spans="1:4" s="5" customFormat="1" ht="25.5">
      <c r="A453" s="104" t="s">
        <v>87</v>
      </c>
      <c r="B453" s="23" t="s">
        <v>291</v>
      </c>
      <c r="C453" s="49">
        <v>600</v>
      </c>
      <c r="D453" s="3">
        <f t="shared" ref="D453:D454" si="59">D454</f>
        <v>697842.1</v>
      </c>
    </row>
    <row r="454" spans="1:4" s="5" customFormat="1" ht="12.75">
      <c r="A454" s="104" t="s">
        <v>54</v>
      </c>
      <c r="B454" s="23" t="s">
        <v>291</v>
      </c>
      <c r="C454" s="49">
        <v>610</v>
      </c>
      <c r="D454" s="3">
        <f t="shared" si="59"/>
        <v>697842.1</v>
      </c>
    </row>
    <row r="455" spans="1:4" s="5" customFormat="1" ht="12.75">
      <c r="A455" s="105" t="s">
        <v>69</v>
      </c>
      <c r="B455" s="23" t="s">
        <v>291</v>
      </c>
      <c r="C455" s="49">
        <v>612</v>
      </c>
      <c r="D455" s="3">
        <v>697842.1</v>
      </c>
    </row>
    <row r="456" spans="1:4" s="5" customFormat="1" ht="12.75">
      <c r="A456" s="40" t="s">
        <v>80</v>
      </c>
      <c r="B456" s="103" t="s">
        <v>50</v>
      </c>
      <c r="C456" s="48"/>
      <c r="D456" s="3">
        <f>D458+D460</f>
        <v>11347461.189999999</v>
      </c>
    </row>
    <row r="457" spans="1:4" s="5" customFormat="1" ht="25.5">
      <c r="A457" s="27" t="s">
        <v>86</v>
      </c>
      <c r="B457" s="103" t="s">
        <v>50</v>
      </c>
      <c r="C457" s="48">
        <v>200</v>
      </c>
      <c r="D457" s="3">
        <f t="shared" ref="D457:D458" si="60">D458</f>
        <v>1347461.19</v>
      </c>
    </row>
    <row r="458" spans="1:4" s="5" customFormat="1" ht="25.5">
      <c r="A458" s="27" t="s">
        <v>67</v>
      </c>
      <c r="B458" s="103" t="s">
        <v>50</v>
      </c>
      <c r="C458" s="48">
        <v>240</v>
      </c>
      <c r="D458" s="3">
        <f t="shared" si="60"/>
        <v>1347461.19</v>
      </c>
    </row>
    <row r="459" spans="1:4" s="5" customFormat="1" ht="12.75">
      <c r="A459" s="67" t="s">
        <v>24</v>
      </c>
      <c r="B459" s="103" t="s">
        <v>50</v>
      </c>
      <c r="C459" s="48">
        <v>244</v>
      </c>
      <c r="D459" s="3">
        <v>1347461.19</v>
      </c>
    </row>
    <row r="460" spans="1:4" s="5" customFormat="1" ht="12.75">
      <c r="A460" s="67" t="s">
        <v>84</v>
      </c>
      <c r="B460" s="108" t="s">
        <v>50</v>
      </c>
      <c r="C460" s="48">
        <v>400</v>
      </c>
      <c r="D460" s="3">
        <f>D461</f>
        <v>10000000</v>
      </c>
    </row>
    <row r="461" spans="1:4" s="5" customFormat="1" ht="12.75">
      <c r="A461" s="67" t="s">
        <v>85</v>
      </c>
      <c r="B461" s="108" t="s">
        <v>50</v>
      </c>
      <c r="C461" s="48">
        <v>410</v>
      </c>
      <c r="D461" s="3">
        <f>D462</f>
        <v>10000000</v>
      </c>
    </row>
    <row r="462" spans="1:4" s="5" customFormat="1" ht="25.5">
      <c r="A462" s="67" t="s">
        <v>109</v>
      </c>
      <c r="B462" s="108" t="s">
        <v>50</v>
      </c>
      <c r="C462" s="48">
        <v>414</v>
      </c>
      <c r="D462" s="3">
        <v>10000000</v>
      </c>
    </row>
    <row r="463" spans="1:4" s="5" customFormat="1" ht="25.5">
      <c r="A463" s="53" t="s">
        <v>280</v>
      </c>
      <c r="B463" s="75" t="s">
        <v>402</v>
      </c>
      <c r="C463" s="48"/>
      <c r="D463" s="3">
        <f>D464</f>
        <v>68333930</v>
      </c>
    </row>
    <row r="464" spans="1:4" s="5" customFormat="1" ht="12.75">
      <c r="A464" s="27" t="s">
        <v>84</v>
      </c>
      <c r="B464" s="75" t="s">
        <v>402</v>
      </c>
      <c r="C464" s="88" t="s">
        <v>215</v>
      </c>
      <c r="D464" s="24">
        <f t="shared" ref="D464:D465" si="61">D465</f>
        <v>68333930</v>
      </c>
    </row>
    <row r="465" spans="1:4" s="5" customFormat="1" ht="12.75">
      <c r="A465" s="27" t="s">
        <v>85</v>
      </c>
      <c r="B465" s="75" t="s">
        <v>402</v>
      </c>
      <c r="C465" s="87">
        <v>410</v>
      </c>
      <c r="D465" s="24">
        <f t="shared" si="61"/>
        <v>68333930</v>
      </c>
    </row>
    <row r="466" spans="1:4" s="5" customFormat="1" ht="25.5">
      <c r="A466" s="53" t="s">
        <v>109</v>
      </c>
      <c r="B466" s="75" t="s">
        <v>402</v>
      </c>
      <c r="C466" s="88" t="s">
        <v>401</v>
      </c>
      <c r="D466" s="3">
        <v>68333930</v>
      </c>
    </row>
    <row r="467" spans="1:4" s="5" customFormat="1" ht="25.5">
      <c r="A467" s="22" t="s">
        <v>289</v>
      </c>
      <c r="B467" s="109" t="s">
        <v>290</v>
      </c>
      <c r="C467" s="110"/>
      <c r="D467" s="3">
        <f>D468</f>
        <v>0</v>
      </c>
    </row>
    <row r="468" spans="1:4" s="5" customFormat="1" ht="25.5">
      <c r="A468" s="27" t="s">
        <v>87</v>
      </c>
      <c r="B468" s="109" t="s">
        <v>290</v>
      </c>
      <c r="C468" s="49">
        <v>600</v>
      </c>
      <c r="D468" s="3">
        <f>D469</f>
        <v>0</v>
      </c>
    </row>
    <row r="469" spans="1:4" s="5" customFormat="1" ht="12.75">
      <c r="A469" s="27" t="s">
        <v>54</v>
      </c>
      <c r="B469" s="109" t="s">
        <v>290</v>
      </c>
      <c r="C469" s="49">
        <v>610</v>
      </c>
      <c r="D469" s="3">
        <f>D470</f>
        <v>0</v>
      </c>
    </row>
    <row r="470" spans="1:4" s="5" customFormat="1" ht="12.75">
      <c r="A470" s="27" t="s">
        <v>69</v>
      </c>
      <c r="B470" s="109" t="s">
        <v>290</v>
      </c>
      <c r="C470" s="49">
        <v>612</v>
      </c>
      <c r="D470" s="3">
        <f>124883-124883</f>
        <v>0</v>
      </c>
    </row>
    <row r="471" spans="1:4" s="5" customFormat="1" ht="25.5">
      <c r="A471" s="111" t="s">
        <v>295</v>
      </c>
      <c r="B471" s="82" t="s">
        <v>292</v>
      </c>
      <c r="C471" s="48"/>
      <c r="D471" s="12">
        <f>D472+D483</f>
        <v>7257701.4800000004</v>
      </c>
    </row>
    <row r="472" spans="1:4" s="5" customFormat="1" ht="12.75">
      <c r="A472" s="25" t="s">
        <v>65</v>
      </c>
      <c r="B472" s="103" t="s">
        <v>541</v>
      </c>
      <c r="C472" s="48"/>
      <c r="D472" s="3">
        <f>D473+D478+D481</f>
        <v>7181637.5700000003</v>
      </c>
    </row>
    <row r="473" spans="1:4" s="5" customFormat="1" ht="38.25">
      <c r="A473" s="65" t="s">
        <v>88</v>
      </c>
      <c r="B473" s="103" t="s">
        <v>541</v>
      </c>
      <c r="C473" s="48">
        <v>100</v>
      </c>
      <c r="D473" s="3">
        <f>D474</f>
        <v>6861612.2000000002</v>
      </c>
    </row>
    <row r="474" spans="1:4" s="5" customFormat="1" ht="12.75">
      <c r="A474" s="65" t="s">
        <v>74</v>
      </c>
      <c r="B474" s="103" t="s">
        <v>541</v>
      </c>
      <c r="C474" s="48">
        <v>120</v>
      </c>
      <c r="D474" s="3">
        <f>D475+D476+D477</f>
        <v>6861612.2000000002</v>
      </c>
    </row>
    <row r="475" spans="1:4" s="5" customFormat="1" ht="12.75">
      <c r="A475" s="67" t="s">
        <v>9</v>
      </c>
      <c r="B475" s="103" t="s">
        <v>541</v>
      </c>
      <c r="C475" s="48">
        <v>121</v>
      </c>
      <c r="D475" s="3">
        <v>5210119.7699999996</v>
      </c>
    </row>
    <row r="476" spans="1:4" s="5" customFormat="1" ht="25.5">
      <c r="A476" s="58" t="s">
        <v>170</v>
      </c>
      <c r="B476" s="103" t="s">
        <v>541</v>
      </c>
      <c r="C476" s="48">
        <v>122</v>
      </c>
      <c r="D476" s="3">
        <v>66179.399999999994</v>
      </c>
    </row>
    <row r="477" spans="1:4" s="5" customFormat="1" ht="38.25">
      <c r="A477" s="58" t="s">
        <v>8</v>
      </c>
      <c r="B477" s="103" t="s">
        <v>541</v>
      </c>
      <c r="C477" s="48">
        <v>129</v>
      </c>
      <c r="D477" s="3">
        <v>1585313.03</v>
      </c>
    </row>
    <row r="478" spans="1:4" s="5" customFormat="1" ht="25.5">
      <c r="A478" s="27" t="s">
        <v>86</v>
      </c>
      <c r="B478" s="103" t="s">
        <v>541</v>
      </c>
      <c r="C478" s="48">
        <v>200</v>
      </c>
      <c r="D478" s="3">
        <f t="shared" ref="D478:D479" si="62">D479</f>
        <v>320016.43</v>
      </c>
    </row>
    <row r="479" spans="1:4" s="5" customFormat="1" ht="25.5">
      <c r="A479" s="27" t="s">
        <v>67</v>
      </c>
      <c r="B479" s="103" t="s">
        <v>541</v>
      </c>
      <c r="C479" s="48">
        <v>240</v>
      </c>
      <c r="D479" s="3">
        <f t="shared" si="62"/>
        <v>320016.43</v>
      </c>
    </row>
    <row r="480" spans="1:4" s="5" customFormat="1" ht="12.75">
      <c r="A480" s="67" t="s">
        <v>24</v>
      </c>
      <c r="B480" s="103" t="s">
        <v>541</v>
      </c>
      <c r="C480" s="48">
        <v>244</v>
      </c>
      <c r="D480" s="3">
        <v>320016.43</v>
      </c>
    </row>
    <row r="481" spans="1:4" s="5" customFormat="1" ht="12.75">
      <c r="A481" s="67" t="s">
        <v>89</v>
      </c>
      <c r="B481" s="103" t="s">
        <v>541</v>
      </c>
      <c r="C481" s="48">
        <v>800</v>
      </c>
      <c r="D481" s="3">
        <f>D482</f>
        <v>8.94</v>
      </c>
    </row>
    <row r="482" spans="1:4" s="5" customFormat="1" ht="12.75">
      <c r="A482" s="67" t="s">
        <v>7</v>
      </c>
      <c r="B482" s="103" t="s">
        <v>541</v>
      </c>
      <c r="C482" s="48">
        <v>850</v>
      </c>
      <c r="D482" s="3">
        <v>8.94</v>
      </c>
    </row>
    <row r="483" spans="1:4" s="5" customFormat="1" ht="25.5">
      <c r="A483" s="112" t="s">
        <v>294</v>
      </c>
      <c r="B483" s="103" t="s">
        <v>293</v>
      </c>
      <c r="C483" s="48"/>
      <c r="D483" s="3">
        <f>D484</f>
        <v>76063.91</v>
      </c>
    </row>
    <row r="484" spans="1:4" s="5" customFormat="1" ht="12.75">
      <c r="A484" s="104" t="s">
        <v>90</v>
      </c>
      <c r="B484" s="103" t="s">
        <v>293</v>
      </c>
      <c r="C484" s="48">
        <v>300</v>
      </c>
      <c r="D484" s="3">
        <f t="shared" ref="D484:D485" si="63">D485</f>
        <v>76063.91</v>
      </c>
    </row>
    <row r="485" spans="1:4" s="5" customFormat="1" ht="25.5">
      <c r="A485" s="104" t="s">
        <v>77</v>
      </c>
      <c r="B485" s="103" t="s">
        <v>293</v>
      </c>
      <c r="C485" s="48">
        <v>320</v>
      </c>
      <c r="D485" s="3">
        <f t="shared" si="63"/>
        <v>76063.91</v>
      </c>
    </row>
    <row r="486" spans="1:4" s="5" customFormat="1" ht="25.5">
      <c r="A486" s="18" t="s">
        <v>20</v>
      </c>
      <c r="B486" s="103" t="s">
        <v>293</v>
      </c>
      <c r="C486" s="48">
        <v>321</v>
      </c>
      <c r="D486" s="3">
        <v>76063.91</v>
      </c>
    </row>
    <row r="487" spans="1:4" s="17" customFormat="1" ht="27">
      <c r="A487" s="13" t="s">
        <v>249</v>
      </c>
      <c r="B487" s="14" t="s">
        <v>19</v>
      </c>
      <c r="C487" s="80"/>
      <c r="D487" s="16">
        <f>D488+D492</f>
        <v>1512000</v>
      </c>
    </row>
    <row r="488" spans="1:4" s="17" customFormat="1" ht="12.75">
      <c r="A488" s="58" t="s">
        <v>485</v>
      </c>
      <c r="B488" s="23" t="s">
        <v>484</v>
      </c>
      <c r="C488" s="48"/>
      <c r="D488" s="3">
        <f>D490</f>
        <v>0</v>
      </c>
    </row>
    <row r="489" spans="1:4" s="5" customFormat="1" ht="12.75">
      <c r="A489" s="25" t="s">
        <v>90</v>
      </c>
      <c r="B489" s="23" t="s">
        <v>484</v>
      </c>
      <c r="C489" s="48">
        <v>300</v>
      </c>
      <c r="D489" s="3">
        <f t="shared" ref="D489:D490" si="64">D490</f>
        <v>0</v>
      </c>
    </row>
    <row r="490" spans="1:4" s="5" customFormat="1" ht="25.5">
      <c r="A490" s="58" t="s">
        <v>81</v>
      </c>
      <c r="B490" s="23" t="s">
        <v>484</v>
      </c>
      <c r="C490" s="48">
        <v>320</v>
      </c>
      <c r="D490" s="3">
        <f t="shared" si="64"/>
        <v>0</v>
      </c>
    </row>
    <row r="491" spans="1:4" s="5" customFormat="1" ht="12.75">
      <c r="A491" s="72" t="s">
        <v>3</v>
      </c>
      <c r="B491" s="23" t="s">
        <v>484</v>
      </c>
      <c r="C491" s="48">
        <v>322</v>
      </c>
      <c r="D491" s="3">
        <f>97534.51-97534.51</f>
        <v>0</v>
      </c>
    </row>
    <row r="492" spans="1:4" s="5" customFormat="1" ht="12.75">
      <c r="A492" s="99" t="s">
        <v>485</v>
      </c>
      <c r="B492" s="23" t="s">
        <v>473</v>
      </c>
      <c r="C492" s="48"/>
      <c r="D492" s="3">
        <f t="shared" ref="D492:D493" si="65">D493</f>
        <v>1512000</v>
      </c>
    </row>
    <row r="493" spans="1:4" s="5" customFormat="1" ht="12.75">
      <c r="A493" s="100" t="s">
        <v>90</v>
      </c>
      <c r="B493" s="23" t="s">
        <v>473</v>
      </c>
      <c r="C493" s="48">
        <v>300</v>
      </c>
      <c r="D493" s="3">
        <f t="shared" si="65"/>
        <v>1512000</v>
      </c>
    </row>
    <row r="494" spans="1:4" s="5" customFormat="1" ht="25.5">
      <c r="A494" s="99" t="s">
        <v>81</v>
      </c>
      <c r="B494" s="23" t="s">
        <v>473</v>
      </c>
      <c r="C494" s="48">
        <v>320</v>
      </c>
      <c r="D494" s="3">
        <f>D495</f>
        <v>1512000</v>
      </c>
    </row>
    <row r="495" spans="1:4" s="5" customFormat="1" ht="12.75">
      <c r="A495" s="99" t="s">
        <v>3</v>
      </c>
      <c r="B495" s="23" t="s">
        <v>473</v>
      </c>
      <c r="C495" s="48">
        <v>322</v>
      </c>
      <c r="D495" s="3">
        <f>1512000</f>
        <v>1512000</v>
      </c>
    </row>
    <row r="496" spans="1:4" s="17" customFormat="1" ht="40.5">
      <c r="A496" s="13" t="s">
        <v>274</v>
      </c>
      <c r="B496" s="14" t="s">
        <v>273</v>
      </c>
      <c r="C496" s="80"/>
      <c r="D496" s="16">
        <f>D497</f>
        <v>29900</v>
      </c>
    </row>
    <row r="497" spans="1:4" s="5" customFormat="1" ht="12.75">
      <c r="A497" s="65" t="s">
        <v>82</v>
      </c>
      <c r="B497" s="98" t="s">
        <v>275</v>
      </c>
      <c r="C497" s="48"/>
      <c r="D497" s="3">
        <f>D499</f>
        <v>29900</v>
      </c>
    </row>
    <row r="498" spans="1:4" s="5" customFormat="1" ht="25.5">
      <c r="A498" s="27" t="s">
        <v>86</v>
      </c>
      <c r="B498" s="98" t="s">
        <v>275</v>
      </c>
      <c r="C498" s="48">
        <v>200</v>
      </c>
      <c r="D498" s="3">
        <f t="shared" ref="D498:D499" si="66">D499</f>
        <v>29900</v>
      </c>
    </row>
    <row r="499" spans="1:4" s="5" customFormat="1" ht="25.5">
      <c r="A499" s="27" t="s">
        <v>67</v>
      </c>
      <c r="B499" s="98" t="s">
        <v>275</v>
      </c>
      <c r="C499" s="48">
        <v>240</v>
      </c>
      <c r="D499" s="3">
        <f t="shared" si="66"/>
        <v>29900</v>
      </c>
    </row>
    <row r="500" spans="1:4" s="5" customFormat="1" ht="12.75">
      <c r="A500" s="67" t="s">
        <v>24</v>
      </c>
      <c r="B500" s="98" t="s">
        <v>275</v>
      </c>
      <c r="C500" s="48" t="s">
        <v>70</v>
      </c>
      <c r="D500" s="3">
        <v>29900</v>
      </c>
    </row>
    <row r="501" spans="1:4" s="17" customFormat="1" ht="27">
      <c r="A501" s="13" t="s">
        <v>276</v>
      </c>
      <c r="B501" s="14" t="s">
        <v>279</v>
      </c>
      <c r="C501" s="80"/>
      <c r="D501" s="16">
        <f>D502+D511</f>
        <v>775684.54</v>
      </c>
    </row>
    <row r="502" spans="1:4" s="5" customFormat="1" ht="12.75">
      <c r="A502" s="27" t="s">
        <v>418</v>
      </c>
      <c r="B502" s="28" t="s">
        <v>403</v>
      </c>
      <c r="C502" s="87"/>
      <c r="D502" s="3">
        <f>D503+D509</f>
        <v>766684.54</v>
      </c>
    </row>
    <row r="503" spans="1:4" s="5" customFormat="1" ht="38.25">
      <c r="A503" s="27" t="s">
        <v>88</v>
      </c>
      <c r="B503" s="28" t="s">
        <v>403</v>
      </c>
      <c r="C503" s="87">
        <v>100</v>
      </c>
      <c r="D503" s="3">
        <f>D504</f>
        <v>696684.54</v>
      </c>
    </row>
    <row r="504" spans="1:4" s="5" customFormat="1" ht="12.75">
      <c r="A504" s="27" t="s">
        <v>66</v>
      </c>
      <c r="B504" s="28" t="s">
        <v>403</v>
      </c>
      <c r="C504" s="87">
        <v>120</v>
      </c>
      <c r="D504" s="3">
        <f>D505+D507+D506</f>
        <v>696684.54</v>
      </c>
    </row>
    <row r="505" spans="1:4" s="5" customFormat="1" ht="12.75">
      <c r="A505" s="27" t="s">
        <v>163</v>
      </c>
      <c r="B505" s="28" t="s">
        <v>403</v>
      </c>
      <c r="C505" s="87">
        <v>121</v>
      </c>
      <c r="D505" s="3">
        <v>533757.02</v>
      </c>
    </row>
    <row r="506" spans="1:4" s="5" customFormat="1" ht="25.5">
      <c r="A506" s="27" t="s">
        <v>170</v>
      </c>
      <c r="B506" s="28" t="s">
        <v>403</v>
      </c>
      <c r="C506" s="87">
        <v>122</v>
      </c>
      <c r="D506" s="3">
        <v>6674.7</v>
      </c>
    </row>
    <row r="507" spans="1:4" s="5" customFormat="1" ht="38.25">
      <c r="A507" s="27" t="s">
        <v>8</v>
      </c>
      <c r="B507" s="28" t="s">
        <v>403</v>
      </c>
      <c r="C507" s="87">
        <v>129</v>
      </c>
      <c r="D507" s="3">
        <v>156252.82</v>
      </c>
    </row>
    <row r="508" spans="1:4" s="5" customFormat="1" ht="25.5">
      <c r="A508" s="27" t="s">
        <v>86</v>
      </c>
      <c r="B508" s="28" t="s">
        <v>403</v>
      </c>
      <c r="C508" s="87">
        <v>200</v>
      </c>
      <c r="D508" s="113">
        <f t="shared" ref="D508:D509" si="67">D509</f>
        <v>70000</v>
      </c>
    </row>
    <row r="509" spans="1:4" s="5" customFormat="1" ht="25.5">
      <c r="A509" s="27" t="s">
        <v>67</v>
      </c>
      <c r="B509" s="28" t="s">
        <v>403</v>
      </c>
      <c r="C509" s="87">
        <v>240</v>
      </c>
      <c r="D509" s="113">
        <f t="shared" si="67"/>
        <v>70000</v>
      </c>
    </row>
    <row r="510" spans="1:4" s="5" customFormat="1" ht="12.75">
      <c r="A510" s="27" t="s">
        <v>102</v>
      </c>
      <c r="B510" s="28" t="s">
        <v>403</v>
      </c>
      <c r="C510" s="87">
        <v>244</v>
      </c>
      <c r="D510" s="113">
        <v>70000</v>
      </c>
    </row>
    <row r="511" spans="1:4" s="5" customFormat="1" ht="25.5">
      <c r="A511" s="114" t="s">
        <v>277</v>
      </c>
      <c r="B511" s="23" t="s">
        <v>278</v>
      </c>
      <c r="C511" s="49"/>
      <c r="D511" s="3">
        <f>D512</f>
        <v>9000</v>
      </c>
    </row>
    <row r="512" spans="1:4" s="5" customFormat="1" ht="25.5">
      <c r="A512" s="27" t="s">
        <v>86</v>
      </c>
      <c r="B512" s="23" t="s">
        <v>278</v>
      </c>
      <c r="C512" s="87">
        <v>200</v>
      </c>
      <c r="D512" s="3">
        <f t="shared" ref="D512:D513" si="68">D513</f>
        <v>9000</v>
      </c>
    </row>
    <row r="513" spans="1:4" s="5" customFormat="1" ht="25.5">
      <c r="A513" s="27" t="s">
        <v>67</v>
      </c>
      <c r="B513" s="23" t="s">
        <v>278</v>
      </c>
      <c r="C513" s="87">
        <v>240</v>
      </c>
      <c r="D513" s="3">
        <f t="shared" si="68"/>
        <v>9000</v>
      </c>
    </row>
    <row r="514" spans="1:4" s="5" customFormat="1" ht="12.75">
      <c r="A514" s="27" t="s">
        <v>102</v>
      </c>
      <c r="B514" s="23" t="s">
        <v>278</v>
      </c>
      <c r="C514" s="87">
        <v>244</v>
      </c>
      <c r="D514" s="3">
        <v>9000</v>
      </c>
    </row>
    <row r="515" spans="1:4" s="17" customFormat="1" ht="27">
      <c r="A515" s="13" t="s">
        <v>250</v>
      </c>
      <c r="B515" s="14" t="s">
        <v>21</v>
      </c>
      <c r="C515" s="80"/>
      <c r="D515" s="16">
        <f>D527+D516</f>
        <v>4536511.4300000006</v>
      </c>
    </row>
    <row r="516" spans="1:4" s="17" customFormat="1" ht="12.75">
      <c r="A516" s="27" t="s">
        <v>56</v>
      </c>
      <c r="B516" s="115" t="s">
        <v>404</v>
      </c>
      <c r="C516" s="123"/>
      <c r="D516" s="97">
        <f>D517+D522+D525</f>
        <v>4500211.4300000006</v>
      </c>
    </row>
    <row r="517" spans="1:4" s="17" customFormat="1" ht="38.25">
      <c r="A517" s="27" t="s">
        <v>88</v>
      </c>
      <c r="B517" s="115" t="s">
        <v>404</v>
      </c>
      <c r="C517" s="126">
        <v>100</v>
      </c>
      <c r="D517" s="97">
        <f>D518</f>
        <v>4273912.79</v>
      </c>
    </row>
    <row r="518" spans="1:4" s="17" customFormat="1" ht="12.75">
      <c r="A518" s="65" t="s">
        <v>79</v>
      </c>
      <c r="B518" s="115" t="s">
        <v>404</v>
      </c>
      <c r="C518" s="116">
        <v>110</v>
      </c>
      <c r="D518" s="3">
        <f>D519+D520+D521</f>
        <v>4273912.79</v>
      </c>
    </row>
    <row r="519" spans="1:4" s="17" customFormat="1" ht="12.75">
      <c r="A519" s="65" t="s">
        <v>231</v>
      </c>
      <c r="B519" s="115" t="s">
        <v>404</v>
      </c>
      <c r="C519" s="116">
        <v>111</v>
      </c>
      <c r="D519" s="3">
        <v>3231247.8</v>
      </c>
    </row>
    <row r="520" spans="1:4" s="17" customFormat="1" ht="12.75">
      <c r="A520" s="27" t="s">
        <v>233</v>
      </c>
      <c r="B520" s="115" t="s">
        <v>404</v>
      </c>
      <c r="C520" s="116">
        <v>112</v>
      </c>
      <c r="D520" s="3">
        <v>76327.100000000006</v>
      </c>
    </row>
    <row r="521" spans="1:4" s="17" customFormat="1" ht="25.5">
      <c r="A521" s="27" t="s">
        <v>234</v>
      </c>
      <c r="B521" s="115" t="s">
        <v>404</v>
      </c>
      <c r="C521" s="116">
        <v>119</v>
      </c>
      <c r="D521" s="3">
        <v>966337.89</v>
      </c>
    </row>
    <row r="522" spans="1:4" s="17" customFormat="1" ht="25.5">
      <c r="A522" s="27" t="s">
        <v>86</v>
      </c>
      <c r="B522" s="115" t="s">
        <v>404</v>
      </c>
      <c r="C522" s="116">
        <v>200</v>
      </c>
      <c r="D522" s="3">
        <f t="shared" ref="D522:D523" si="69">D523</f>
        <v>226047.9</v>
      </c>
    </row>
    <row r="523" spans="1:4" s="17" customFormat="1" ht="25.5">
      <c r="A523" s="27" t="s">
        <v>236</v>
      </c>
      <c r="B523" s="115" t="s">
        <v>404</v>
      </c>
      <c r="C523" s="116">
        <v>240</v>
      </c>
      <c r="D523" s="3">
        <f t="shared" si="69"/>
        <v>226047.9</v>
      </c>
    </row>
    <row r="524" spans="1:4" s="17" customFormat="1" ht="12.75">
      <c r="A524" s="27" t="s">
        <v>102</v>
      </c>
      <c r="B524" s="115" t="s">
        <v>404</v>
      </c>
      <c r="C524" s="116">
        <v>244</v>
      </c>
      <c r="D524" s="3">
        <v>226047.9</v>
      </c>
    </row>
    <row r="525" spans="1:4" s="17" customFormat="1" ht="12.75">
      <c r="A525" s="27" t="s">
        <v>181</v>
      </c>
      <c r="B525" s="154" t="s">
        <v>404</v>
      </c>
      <c r="C525" s="116">
        <v>800</v>
      </c>
      <c r="D525" s="3">
        <f>D526</f>
        <v>250.74</v>
      </c>
    </row>
    <row r="526" spans="1:4" s="17" customFormat="1" ht="12.75">
      <c r="A526" s="27" t="s">
        <v>171</v>
      </c>
      <c r="B526" s="154" t="s">
        <v>404</v>
      </c>
      <c r="C526" s="116">
        <v>850</v>
      </c>
      <c r="D526" s="3">
        <v>250.74</v>
      </c>
    </row>
    <row r="527" spans="1:4" s="5" customFormat="1" ht="12.75">
      <c r="A527" s="65" t="s">
        <v>82</v>
      </c>
      <c r="B527" s="98" t="s">
        <v>51</v>
      </c>
      <c r="C527" s="48"/>
      <c r="D527" s="3">
        <f>D529</f>
        <v>36300</v>
      </c>
    </row>
    <row r="528" spans="1:4" s="5" customFormat="1" ht="25.5">
      <c r="A528" s="27" t="s">
        <v>86</v>
      </c>
      <c r="B528" s="98" t="s">
        <v>51</v>
      </c>
      <c r="C528" s="48">
        <v>200</v>
      </c>
      <c r="D528" s="3">
        <f t="shared" ref="D528:D529" si="70">D529</f>
        <v>36300</v>
      </c>
    </row>
    <row r="529" spans="1:4" s="5" customFormat="1" ht="25.5">
      <c r="A529" s="27" t="s">
        <v>67</v>
      </c>
      <c r="B529" s="98" t="s">
        <v>51</v>
      </c>
      <c r="C529" s="48">
        <v>240</v>
      </c>
      <c r="D529" s="3">
        <f t="shared" si="70"/>
        <v>36300</v>
      </c>
    </row>
    <row r="530" spans="1:4" s="5" customFormat="1" ht="12.75">
      <c r="A530" s="67" t="s">
        <v>24</v>
      </c>
      <c r="B530" s="98" t="s">
        <v>51</v>
      </c>
      <c r="C530" s="48">
        <v>244</v>
      </c>
      <c r="D530" s="113">
        <v>36300</v>
      </c>
    </row>
    <row r="531" spans="1:4" s="17" customFormat="1" ht="27">
      <c r="A531" s="13" t="s">
        <v>129</v>
      </c>
      <c r="B531" s="14" t="s">
        <v>128</v>
      </c>
      <c r="C531" s="80"/>
      <c r="D531" s="16">
        <f>D548+D532+D540+D544+D536</f>
        <v>5659110.6100000003</v>
      </c>
    </row>
    <row r="532" spans="1:4" s="5" customFormat="1" ht="12.75">
      <c r="A532" s="22" t="s">
        <v>285</v>
      </c>
      <c r="B532" s="117" t="s">
        <v>335</v>
      </c>
      <c r="C532" s="118"/>
      <c r="D532" s="3">
        <f t="shared" ref="D532:D534" si="71">D533</f>
        <v>682426.75</v>
      </c>
    </row>
    <row r="533" spans="1:4" s="5" customFormat="1" ht="25.5">
      <c r="A533" s="27" t="s">
        <v>86</v>
      </c>
      <c r="B533" s="117" t="s">
        <v>335</v>
      </c>
      <c r="C533" s="119" t="s">
        <v>111</v>
      </c>
      <c r="D533" s="3">
        <f t="shared" si="71"/>
        <v>682426.75</v>
      </c>
    </row>
    <row r="534" spans="1:4" s="5" customFormat="1" ht="25.5">
      <c r="A534" s="22" t="s">
        <v>236</v>
      </c>
      <c r="B534" s="117" t="s">
        <v>335</v>
      </c>
      <c r="C534" s="118" t="s">
        <v>112</v>
      </c>
      <c r="D534" s="3">
        <f t="shared" si="71"/>
        <v>682426.75</v>
      </c>
    </row>
    <row r="535" spans="1:4" s="5" customFormat="1" ht="12.75">
      <c r="A535" s="22" t="s">
        <v>24</v>
      </c>
      <c r="B535" s="117" t="s">
        <v>335</v>
      </c>
      <c r="C535" s="118" t="s">
        <v>70</v>
      </c>
      <c r="D535" s="3">
        <v>682426.75</v>
      </c>
    </row>
    <row r="536" spans="1:4" s="5" customFormat="1" ht="12.75">
      <c r="A536" s="22" t="s">
        <v>540</v>
      </c>
      <c r="B536" s="120" t="s">
        <v>554</v>
      </c>
      <c r="C536" s="118"/>
      <c r="D536" s="3">
        <f t="shared" ref="D536:D537" si="72">D537</f>
        <v>0</v>
      </c>
    </row>
    <row r="537" spans="1:4" s="5" customFormat="1" ht="25.5">
      <c r="A537" s="22" t="s">
        <v>86</v>
      </c>
      <c r="B537" s="120" t="s">
        <v>554</v>
      </c>
      <c r="C537" s="118">
        <v>200</v>
      </c>
      <c r="D537" s="3">
        <f t="shared" si="72"/>
        <v>0</v>
      </c>
    </row>
    <row r="538" spans="1:4" s="5" customFormat="1" ht="25.5">
      <c r="A538" s="22" t="s">
        <v>236</v>
      </c>
      <c r="B538" s="120" t="s">
        <v>554</v>
      </c>
      <c r="C538" s="118">
        <v>240</v>
      </c>
      <c r="D538" s="3">
        <f>D539</f>
        <v>0</v>
      </c>
    </row>
    <row r="539" spans="1:4" s="5" customFormat="1" ht="12.75">
      <c r="A539" s="22" t="s">
        <v>24</v>
      </c>
      <c r="B539" s="120" t="s">
        <v>554</v>
      </c>
      <c r="C539" s="118">
        <v>244</v>
      </c>
      <c r="D539" s="3">
        <v>0</v>
      </c>
    </row>
    <row r="540" spans="1:4" s="5" customFormat="1" ht="38.25">
      <c r="A540" s="22" t="s">
        <v>479</v>
      </c>
      <c r="B540" s="120" t="s">
        <v>478</v>
      </c>
      <c r="C540" s="118"/>
      <c r="D540" s="3">
        <f>D541</f>
        <v>28325</v>
      </c>
    </row>
    <row r="541" spans="1:4" s="5" customFormat="1" ht="25.5">
      <c r="A541" s="22" t="s">
        <v>86</v>
      </c>
      <c r="B541" s="120" t="s">
        <v>478</v>
      </c>
      <c r="C541" s="118" t="s">
        <v>111</v>
      </c>
      <c r="D541" s="3">
        <f>D542</f>
        <v>28325</v>
      </c>
    </row>
    <row r="542" spans="1:4" s="5" customFormat="1" ht="25.5">
      <c r="A542" s="22" t="s">
        <v>236</v>
      </c>
      <c r="B542" s="120" t="s">
        <v>478</v>
      </c>
      <c r="C542" s="118" t="s">
        <v>112</v>
      </c>
      <c r="D542" s="3">
        <f>D543</f>
        <v>28325</v>
      </c>
    </row>
    <row r="543" spans="1:4" s="5" customFormat="1" ht="12.75">
      <c r="A543" s="22" t="s">
        <v>102</v>
      </c>
      <c r="B543" s="120" t="s">
        <v>478</v>
      </c>
      <c r="C543" s="118" t="s">
        <v>70</v>
      </c>
      <c r="D543" s="3">
        <v>28325</v>
      </c>
    </row>
    <row r="544" spans="1:4" s="5" customFormat="1" ht="12.75">
      <c r="A544" s="22" t="s">
        <v>524</v>
      </c>
      <c r="B544" s="120" t="s">
        <v>523</v>
      </c>
      <c r="C544" s="118"/>
      <c r="D544" s="3">
        <f>D545</f>
        <v>0</v>
      </c>
    </row>
    <row r="545" spans="1:4" s="5" customFormat="1" ht="25.5">
      <c r="A545" s="22" t="s">
        <v>86</v>
      </c>
      <c r="B545" s="120" t="s">
        <v>523</v>
      </c>
      <c r="C545" s="118">
        <v>200</v>
      </c>
      <c r="D545" s="3">
        <f>D546</f>
        <v>0</v>
      </c>
    </row>
    <row r="546" spans="1:4" s="5" customFormat="1" ht="25.5">
      <c r="A546" s="22" t="s">
        <v>236</v>
      </c>
      <c r="B546" s="120" t="s">
        <v>523</v>
      </c>
      <c r="C546" s="118">
        <v>240</v>
      </c>
      <c r="D546" s="3">
        <f>D547</f>
        <v>0</v>
      </c>
    </row>
    <row r="547" spans="1:4" s="5" customFormat="1" ht="12.75">
      <c r="A547" s="22" t="s">
        <v>102</v>
      </c>
      <c r="B547" s="120" t="s">
        <v>523</v>
      </c>
      <c r="C547" s="118">
        <v>244</v>
      </c>
      <c r="D547" s="3"/>
    </row>
    <row r="548" spans="1:4" s="5" customFormat="1" ht="25.5">
      <c r="A548" s="22" t="s">
        <v>482</v>
      </c>
      <c r="B548" s="120" t="s">
        <v>480</v>
      </c>
      <c r="C548" s="118"/>
      <c r="D548" s="3">
        <f>D549</f>
        <v>4948358.8600000003</v>
      </c>
    </row>
    <row r="549" spans="1:4" s="5" customFormat="1" ht="25.5">
      <c r="A549" s="67" t="s">
        <v>130</v>
      </c>
      <c r="B549" s="98" t="s">
        <v>481</v>
      </c>
      <c r="C549" s="48"/>
      <c r="D549" s="3">
        <f t="shared" ref="D549:D550" si="73">D550</f>
        <v>4948358.8600000003</v>
      </c>
    </row>
    <row r="550" spans="1:4" s="5" customFormat="1" ht="25.5">
      <c r="A550" s="67" t="s">
        <v>86</v>
      </c>
      <c r="B550" s="98" t="s">
        <v>481</v>
      </c>
      <c r="C550" s="48">
        <v>200</v>
      </c>
      <c r="D550" s="3">
        <f t="shared" si="73"/>
        <v>4948358.8600000003</v>
      </c>
    </row>
    <row r="551" spans="1:4" s="5" customFormat="1" ht="25.5">
      <c r="A551" s="67" t="s">
        <v>67</v>
      </c>
      <c r="B551" s="98" t="s">
        <v>481</v>
      </c>
      <c r="C551" s="48">
        <v>240</v>
      </c>
      <c r="D551" s="3">
        <f>D552</f>
        <v>4948358.8600000003</v>
      </c>
    </row>
    <row r="552" spans="1:4" s="5" customFormat="1" ht="12.75">
      <c r="A552" s="67" t="s">
        <v>24</v>
      </c>
      <c r="B552" s="98" t="s">
        <v>481</v>
      </c>
      <c r="C552" s="48">
        <v>244</v>
      </c>
      <c r="D552" s="3">
        <v>4948358.8600000003</v>
      </c>
    </row>
    <row r="553" spans="1:4" s="17" customFormat="1" ht="13.5">
      <c r="A553" s="111" t="s">
        <v>334</v>
      </c>
      <c r="B553" s="14" t="s">
        <v>296</v>
      </c>
      <c r="C553" s="80"/>
      <c r="D553" s="16">
        <f>D554+D558+D563</f>
        <v>29392048.050000001</v>
      </c>
    </row>
    <row r="554" spans="1:4" s="5" customFormat="1" ht="25.5">
      <c r="A554" s="53" t="s">
        <v>297</v>
      </c>
      <c r="B554" s="75" t="s">
        <v>298</v>
      </c>
      <c r="C554" s="80"/>
      <c r="D554" s="3">
        <f>D555</f>
        <v>0</v>
      </c>
    </row>
    <row r="555" spans="1:4" s="5" customFormat="1" ht="12.75">
      <c r="A555" s="27" t="s">
        <v>84</v>
      </c>
      <c r="B555" s="75" t="s">
        <v>298</v>
      </c>
      <c r="C555" s="88">
        <v>400</v>
      </c>
      <c r="D555" s="3">
        <f>D556</f>
        <v>0</v>
      </c>
    </row>
    <row r="556" spans="1:4" s="5" customFormat="1" ht="12.75">
      <c r="A556" s="53" t="s">
        <v>85</v>
      </c>
      <c r="B556" s="75" t="s">
        <v>298</v>
      </c>
      <c r="C556" s="121">
        <v>410</v>
      </c>
      <c r="D556" s="3">
        <f>D557</f>
        <v>0</v>
      </c>
    </row>
    <row r="557" spans="1:4" s="5" customFormat="1" ht="25.5">
      <c r="A557" s="53" t="s">
        <v>109</v>
      </c>
      <c r="B557" s="75" t="s">
        <v>298</v>
      </c>
      <c r="C557" s="121">
        <v>414</v>
      </c>
      <c r="D557" s="3">
        <v>0</v>
      </c>
    </row>
    <row r="558" spans="1:4" s="5" customFormat="1" ht="12.75">
      <c r="A558" s="53" t="s">
        <v>330</v>
      </c>
      <c r="B558" s="75" t="s">
        <v>332</v>
      </c>
      <c r="C558" s="121"/>
      <c r="D558" s="3">
        <f>D559</f>
        <v>28749892.129999999</v>
      </c>
    </row>
    <row r="559" spans="1:4" s="5" customFormat="1" ht="12.75">
      <c r="A559" s="53" t="s">
        <v>331</v>
      </c>
      <c r="B559" s="75" t="s">
        <v>470</v>
      </c>
      <c r="C559" s="121"/>
      <c r="D559" s="3">
        <f t="shared" ref="D559:D560" si="74">D560</f>
        <v>28749892.129999999</v>
      </c>
    </row>
    <row r="560" spans="1:4" s="5" customFormat="1" ht="12.75">
      <c r="A560" s="53" t="s">
        <v>84</v>
      </c>
      <c r="B560" s="75" t="s">
        <v>470</v>
      </c>
      <c r="C560" s="121">
        <v>400</v>
      </c>
      <c r="D560" s="3">
        <f t="shared" si="74"/>
        <v>28749892.129999999</v>
      </c>
    </row>
    <row r="561" spans="1:4" s="5" customFormat="1" ht="12.75">
      <c r="A561" s="53" t="s">
        <v>85</v>
      </c>
      <c r="B561" s="75" t="s">
        <v>470</v>
      </c>
      <c r="C561" s="121">
        <v>410</v>
      </c>
      <c r="D561" s="3">
        <f>D562</f>
        <v>28749892.129999999</v>
      </c>
    </row>
    <row r="562" spans="1:4" s="5" customFormat="1" ht="25.5">
      <c r="A562" s="53" t="s">
        <v>109</v>
      </c>
      <c r="B562" s="75" t="s">
        <v>470</v>
      </c>
      <c r="C562" s="121">
        <v>414</v>
      </c>
      <c r="D562" s="3">
        <v>28749892.129999999</v>
      </c>
    </row>
    <row r="563" spans="1:4" s="5" customFormat="1" ht="12.75">
      <c r="A563" s="53" t="s">
        <v>196</v>
      </c>
      <c r="B563" s="75" t="s">
        <v>333</v>
      </c>
      <c r="C563" s="121"/>
      <c r="D563" s="3">
        <f>D564</f>
        <v>642155.92000000004</v>
      </c>
    </row>
    <row r="564" spans="1:4" s="5" customFormat="1" ht="12.75">
      <c r="A564" s="27" t="s">
        <v>84</v>
      </c>
      <c r="B564" s="75" t="s">
        <v>333</v>
      </c>
      <c r="C564" s="121">
        <v>400</v>
      </c>
      <c r="D564" s="3">
        <f t="shared" ref="D564:D565" si="75">D565</f>
        <v>642155.92000000004</v>
      </c>
    </row>
    <row r="565" spans="1:4" s="5" customFormat="1" ht="12.75">
      <c r="A565" s="53" t="s">
        <v>85</v>
      </c>
      <c r="B565" s="75" t="s">
        <v>333</v>
      </c>
      <c r="C565" s="121">
        <v>410</v>
      </c>
      <c r="D565" s="3">
        <f t="shared" si="75"/>
        <v>642155.92000000004</v>
      </c>
    </row>
    <row r="566" spans="1:4" s="5" customFormat="1" ht="25.5">
      <c r="A566" s="53" t="s">
        <v>109</v>
      </c>
      <c r="B566" s="75" t="s">
        <v>333</v>
      </c>
      <c r="C566" s="121">
        <v>414</v>
      </c>
      <c r="D566" s="3">
        <v>642155.92000000004</v>
      </c>
    </row>
    <row r="567" spans="1:4" s="17" customFormat="1" ht="27">
      <c r="A567" s="13" t="s">
        <v>302</v>
      </c>
      <c r="B567" s="14" t="s">
        <v>52</v>
      </c>
      <c r="C567" s="80"/>
      <c r="D567" s="16">
        <f>D568+D572</f>
        <v>6454711.4299999997</v>
      </c>
    </row>
    <row r="568" spans="1:4" s="17" customFormat="1" ht="25.5">
      <c r="A568" s="27" t="s">
        <v>109</v>
      </c>
      <c r="B568" s="122" t="s">
        <v>327</v>
      </c>
      <c r="C568" s="123"/>
      <c r="D568" s="3">
        <f t="shared" ref="D568:D569" si="76">D569</f>
        <v>2051966</v>
      </c>
    </row>
    <row r="569" spans="1:4" s="17" customFormat="1" ht="12.75">
      <c r="A569" s="27" t="s">
        <v>84</v>
      </c>
      <c r="B569" s="122" t="s">
        <v>327</v>
      </c>
      <c r="C569" s="116">
        <v>400</v>
      </c>
      <c r="D569" s="3">
        <f t="shared" si="76"/>
        <v>2051966</v>
      </c>
    </row>
    <row r="570" spans="1:4" s="17" customFormat="1" ht="12.75">
      <c r="A570" s="27" t="s">
        <v>85</v>
      </c>
      <c r="B570" s="122" t="s">
        <v>327</v>
      </c>
      <c r="C570" s="116">
        <v>410</v>
      </c>
      <c r="D570" s="3">
        <f>D571</f>
        <v>2051966</v>
      </c>
    </row>
    <row r="571" spans="1:4" s="17" customFormat="1" ht="25.5">
      <c r="A571" s="27" t="s">
        <v>109</v>
      </c>
      <c r="B571" s="122" t="s">
        <v>327</v>
      </c>
      <c r="C571" s="116">
        <v>414</v>
      </c>
      <c r="D571" s="3">
        <v>2051966</v>
      </c>
    </row>
    <row r="572" spans="1:4" s="17" customFormat="1" ht="25.5">
      <c r="A572" s="124" t="s">
        <v>328</v>
      </c>
      <c r="B572" s="125" t="s">
        <v>329</v>
      </c>
      <c r="C572" s="116"/>
      <c r="D572" s="3">
        <f>D573+D580+D587</f>
        <v>4402745.43</v>
      </c>
    </row>
    <row r="573" spans="1:4" s="5" customFormat="1" ht="38.25">
      <c r="A573" s="22" t="s">
        <v>419</v>
      </c>
      <c r="B573" s="75" t="s">
        <v>108</v>
      </c>
      <c r="C573" s="87"/>
      <c r="D573" s="3">
        <f>D578+D574</f>
        <v>4314690.5199999996</v>
      </c>
    </row>
    <row r="574" spans="1:4" s="5" customFormat="1" ht="12.75">
      <c r="A574" s="27" t="s">
        <v>90</v>
      </c>
      <c r="B574" s="75" t="s">
        <v>108</v>
      </c>
      <c r="C574" s="79">
        <v>300</v>
      </c>
      <c r="D574" s="3">
        <f t="shared" ref="D574:D575" si="77">D575</f>
        <v>2495810.52</v>
      </c>
    </row>
    <row r="575" spans="1:4" s="5" customFormat="1" ht="25.5">
      <c r="A575" s="25" t="s">
        <v>77</v>
      </c>
      <c r="B575" s="75" t="s">
        <v>108</v>
      </c>
      <c r="C575" s="79">
        <v>320</v>
      </c>
      <c r="D575" s="3">
        <f t="shared" si="77"/>
        <v>2495810.52</v>
      </c>
    </row>
    <row r="576" spans="1:4" s="5" customFormat="1" ht="12.75">
      <c r="A576" s="25" t="s">
        <v>256</v>
      </c>
      <c r="B576" s="75" t="s">
        <v>108</v>
      </c>
      <c r="C576" s="88">
        <v>322</v>
      </c>
      <c r="D576" s="3">
        <f>3353991.2-858180.68</f>
        <v>2495810.52</v>
      </c>
    </row>
    <row r="577" spans="1:4" s="5" customFormat="1" ht="12.75">
      <c r="A577" s="22" t="s">
        <v>84</v>
      </c>
      <c r="B577" s="75" t="s">
        <v>108</v>
      </c>
      <c r="C577" s="126">
        <v>400</v>
      </c>
      <c r="D577" s="3">
        <f t="shared" ref="D577" si="78">D578</f>
        <v>1818880</v>
      </c>
    </row>
    <row r="578" spans="1:4" s="5" customFormat="1" ht="12.75">
      <c r="A578" s="22" t="s">
        <v>85</v>
      </c>
      <c r="B578" s="75" t="s">
        <v>108</v>
      </c>
      <c r="C578" s="126">
        <v>410</v>
      </c>
      <c r="D578" s="3">
        <f>D579</f>
        <v>1818880</v>
      </c>
    </row>
    <row r="579" spans="1:4" s="5" customFormat="1" ht="25.5">
      <c r="A579" s="22" t="s">
        <v>217</v>
      </c>
      <c r="B579" s="75" t="s">
        <v>108</v>
      </c>
      <c r="C579" s="126" t="s">
        <v>218</v>
      </c>
      <c r="D579" s="97">
        <v>1818880</v>
      </c>
    </row>
    <row r="580" spans="1:4" s="5" customFormat="1" ht="25.5">
      <c r="A580" s="22" t="s">
        <v>420</v>
      </c>
      <c r="B580" s="75" t="s">
        <v>110</v>
      </c>
      <c r="C580" s="126"/>
      <c r="D580" s="3">
        <f>D585+D581</f>
        <v>86198.91</v>
      </c>
    </row>
    <row r="581" spans="1:4" s="5" customFormat="1" ht="12.75">
      <c r="A581" s="27" t="s">
        <v>90</v>
      </c>
      <c r="B581" s="75" t="s">
        <v>110</v>
      </c>
      <c r="C581" s="79">
        <v>300</v>
      </c>
      <c r="D581" s="3">
        <f t="shared" ref="D581:D582" si="79">D582</f>
        <v>50934.91</v>
      </c>
    </row>
    <row r="582" spans="1:4" s="5" customFormat="1" ht="25.5">
      <c r="A582" s="25" t="s">
        <v>77</v>
      </c>
      <c r="B582" s="75" t="s">
        <v>110</v>
      </c>
      <c r="C582" s="79">
        <v>320</v>
      </c>
      <c r="D582" s="3">
        <f t="shared" si="79"/>
        <v>50934.91</v>
      </c>
    </row>
    <row r="583" spans="1:4" s="5" customFormat="1" ht="12.75">
      <c r="A583" s="25" t="s">
        <v>256</v>
      </c>
      <c r="B583" s="75" t="s">
        <v>110</v>
      </c>
      <c r="C583" s="88">
        <v>322</v>
      </c>
      <c r="D583" s="97">
        <f>68448.8-17513.89</f>
        <v>50934.91</v>
      </c>
    </row>
    <row r="584" spans="1:4" s="5" customFormat="1" ht="12.75">
      <c r="A584" s="22" t="s">
        <v>84</v>
      </c>
      <c r="B584" s="75" t="s">
        <v>110</v>
      </c>
      <c r="C584" s="126">
        <v>400</v>
      </c>
      <c r="D584" s="3">
        <f t="shared" ref="D584" si="80">D585</f>
        <v>35264</v>
      </c>
    </row>
    <row r="585" spans="1:4" s="5" customFormat="1" ht="12.75">
      <c r="A585" s="22" t="s">
        <v>85</v>
      </c>
      <c r="B585" s="75" t="s">
        <v>110</v>
      </c>
      <c r="C585" s="126">
        <v>410</v>
      </c>
      <c r="D585" s="3">
        <f>D586</f>
        <v>35264</v>
      </c>
    </row>
    <row r="586" spans="1:4" s="5" customFormat="1" ht="25.5">
      <c r="A586" s="22" t="s">
        <v>217</v>
      </c>
      <c r="B586" s="75" t="s">
        <v>110</v>
      </c>
      <c r="C586" s="126" t="s">
        <v>218</v>
      </c>
      <c r="D586" s="3">
        <v>35264</v>
      </c>
    </row>
    <row r="587" spans="1:4" s="5" customFormat="1" ht="51">
      <c r="A587" s="67" t="s">
        <v>83</v>
      </c>
      <c r="B587" s="98" t="s">
        <v>53</v>
      </c>
      <c r="C587" s="48"/>
      <c r="D587" s="3">
        <f>D589</f>
        <v>1856</v>
      </c>
    </row>
    <row r="588" spans="1:4" s="5" customFormat="1" ht="12.75">
      <c r="A588" s="67" t="s">
        <v>84</v>
      </c>
      <c r="B588" s="98" t="s">
        <v>53</v>
      </c>
      <c r="C588" s="48">
        <v>400</v>
      </c>
      <c r="D588" s="3">
        <f t="shared" ref="D588:D589" si="81">D589</f>
        <v>1856</v>
      </c>
    </row>
    <row r="589" spans="1:4" s="5" customFormat="1" ht="12.75">
      <c r="A589" s="127" t="s">
        <v>85</v>
      </c>
      <c r="B589" s="98" t="s">
        <v>53</v>
      </c>
      <c r="C589" s="48">
        <v>410</v>
      </c>
      <c r="D589" s="3">
        <f t="shared" si="81"/>
        <v>1856</v>
      </c>
    </row>
    <row r="590" spans="1:4" s="5" customFormat="1" ht="25.5">
      <c r="A590" s="27" t="s">
        <v>217</v>
      </c>
      <c r="B590" s="98" t="s">
        <v>53</v>
      </c>
      <c r="C590" s="48">
        <v>412</v>
      </c>
      <c r="D590" s="3">
        <v>1856</v>
      </c>
    </row>
    <row r="591" spans="1:4" s="17" customFormat="1" ht="27">
      <c r="A591" s="13" t="s">
        <v>251</v>
      </c>
      <c r="B591" s="14" t="s">
        <v>101</v>
      </c>
      <c r="C591" s="80"/>
      <c r="D591" s="16">
        <f>D592</f>
        <v>3909808.24</v>
      </c>
    </row>
    <row r="592" spans="1:4" s="17" customFormat="1" ht="12.75">
      <c r="A592" s="25" t="s">
        <v>415</v>
      </c>
      <c r="B592" s="26" t="s">
        <v>407</v>
      </c>
      <c r="C592" s="80"/>
      <c r="D592" s="3">
        <f t="shared" ref="D592:D594" si="82">D593</f>
        <v>3909808.24</v>
      </c>
    </row>
    <row r="593" spans="1:4" s="17" customFormat="1" ht="25.5">
      <c r="A593" s="27" t="s">
        <v>86</v>
      </c>
      <c r="B593" s="26" t="s">
        <v>407</v>
      </c>
      <c r="C593" s="49" t="s">
        <v>111</v>
      </c>
      <c r="D593" s="3">
        <f t="shared" si="82"/>
        <v>3909808.24</v>
      </c>
    </row>
    <row r="594" spans="1:4" s="17" customFormat="1" ht="25.5">
      <c r="A594" s="27" t="s">
        <v>67</v>
      </c>
      <c r="B594" s="26" t="s">
        <v>407</v>
      </c>
      <c r="C594" s="49" t="s">
        <v>112</v>
      </c>
      <c r="D594" s="3">
        <f t="shared" si="82"/>
        <v>3909808.24</v>
      </c>
    </row>
    <row r="595" spans="1:4" s="17" customFormat="1" ht="12.75">
      <c r="A595" s="27" t="s">
        <v>24</v>
      </c>
      <c r="B595" s="26" t="s">
        <v>407</v>
      </c>
      <c r="C595" s="49" t="s">
        <v>70</v>
      </c>
      <c r="D595" s="3">
        <v>3909808.24</v>
      </c>
    </row>
    <row r="596" spans="1:4" s="17" customFormat="1" ht="27">
      <c r="A596" s="13" t="s">
        <v>131</v>
      </c>
      <c r="B596" s="14" t="s">
        <v>132</v>
      </c>
      <c r="C596" s="80"/>
      <c r="D596" s="16">
        <f>D597</f>
        <v>0</v>
      </c>
    </row>
    <row r="597" spans="1:4" s="5" customFormat="1" ht="25.5">
      <c r="A597" s="27" t="s">
        <v>133</v>
      </c>
      <c r="B597" s="128" t="s">
        <v>134</v>
      </c>
      <c r="C597" s="48"/>
      <c r="D597" s="97">
        <f>D599</f>
        <v>0</v>
      </c>
    </row>
    <row r="598" spans="1:4" s="5" customFormat="1" ht="25.5">
      <c r="A598" s="40" t="s">
        <v>87</v>
      </c>
      <c r="B598" s="128" t="s">
        <v>134</v>
      </c>
      <c r="C598" s="87">
        <v>600</v>
      </c>
      <c r="D598" s="97">
        <f t="shared" ref="D598:D599" si="83">D599</f>
        <v>0</v>
      </c>
    </row>
    <row r="599" spans="1:4" s="5" customFormat="1" ht="25.5">
      <c r="A599" s="40" t="s">
        <v>94</v>
      </c>
      <c r="B599" s="128" t="s">
        <v>134</v>
      </c>
      <c r="C599" s="110">
        <v>630</v>
      </c>
      <c r="D599" s="97">
        <f t="shared" si="83"/>
        <v>0</v>
      </c>
    </row>
    <row r="600" spans="1:4" s="5" customFormat="1" ht="25.5">
      <c r="A600" s="40" t="s">
        <v>95</v>
      </c>
      <c r="B600" s="128" t="s">
        <v>134</v>
      </c>
      <c r="C600" s="49" t="s">
        <v>135</v>
      </c>
      <c r="D600" s="129">
        <f>75000+75000-75000-75000</f>
        <v>0</v>
      </c>
    </row>
    <row r="601" spans="1:4" s="17" customFormat="1" ht="27">
      <c r="A601" s="131" t="s">
        <v>336</v>
      </c>
      <c r="B601" s="132" t="s">
        <v>337</v>
      </c>
      <c r="C601" s="133"/>
      <c r="D601" s="134">
        <f>D602+D620</f>
        <v>21014513.649999999</v>
      </c>
    </row>
    <row r="602" spans="1:4" s="17" customFormat="1" ht="25.5">
      <c r="A602" s="39" t="s">
        <v>348</v>
      </c>
      <c r="B602" s="135" t="s">
        <v>349</v>
      </c>
      <c r="C602" s="110"/>
      <c r="D602" s="129">
        <f>D603+D615</f>
        <v>16098317.390000001</v>
      </c>
    </row>
    <row r="603" spans="1:4" s="17" customFormat="1" ht="12.75">
      <c r="A603" s="39" t="s">
        <v>65</v>
      </c>
      <c r="B603" s="135" t="s">
        <v>350</v>
      </c>
      <c r="C603" s="110"/>
      <c r="D603" s="129">
        <f>D604+D609+D612</f>
        <v>14967717.390000001</v>
      </c>
    </row>
    <row r="604" spans="1:4" s="17" customFormat="1" ht="38.25">
      <c r="A604" s="39" t="s">
        <v>88</v>
      </c>
      <c r="B604" s="135" t="s">
        <v>350</v>
      </c>
      <c r="C604" s="110">
        <v>100</v>
      </c>
      <c r="D604" s="129">
        <f>D605</f>
        <v>14044185.48</v>
      </c>
    </row>
    <row r="605" spans="1:4" s="17" customFormat="1" ht="12.75">
      <c r="A605" s="39" t="s">
        <v>66</v>
      </c>
      <c r="B605" s="135" t="s">
        <v>350</v>
      </c>
      <c r="C605" s="110">
        <v>120</v>
      </c>
      <c r="D605" s="129">
        <f>D606+D607+D608</f>
        <v>14044185.48</v>
      </c>
    </row>
    <row r="606" spans="1:4" s="17" customFormat="1" ht="12.75">
      <c r="A606" s="39" t="s">
        <v>9</v>
      </c>
      <c r="B606" s="135" t="s">
        <v>350</v>
      </c>
      <c r="C606" s="110">
        <v>121</v>
      </c>
      <c r="D606" s="129">
        <v>10695483.35</v>
      </c>
    </row>
    <row r="607" spans="1:4" s="17" customFormat="1" ht="25.5">
      <c r="A607" s="39" t="s">
        <v>170</v>
      </c>
      <c r="B607" s="135" t="s">
        <v>350</v>
      </c>
      <c r="C607" s="110">
        <v>122</v>
      </c>
      <c r="D607" s="129">
        <v>138422.9</v>
      </c>
    </row>
    <row r="608" spans="1:4" s="17" customFormat="1" ht="38.25">
      <c r="A608" s="39" t="s">
        <v>8</v>
      </c>
      <c r="B608" s="135" t="s">
        <v>350</v>
      </c>
      <c r="C608" s="110">
        <v>129</v>
      </c>
      <c r="D608" s="129">
        <v>3210279.23</v>
      </c>
    </row>
    <row r="609" spans="1:4" s="17" customFormat="1" ht="25.5">
      <c r="A609" s="39" t="s">
        <v>86</v>
      </c>
      <c r="B609" s="135" t="s">
        <v>350</v>
      </c>
      <c r="C609" s="110">
        <v>200</v>
      </c>
      <c r="D609" s="129">
        <f t="shared" ref="D609:D610" si="84">D610</f>
        <v>923531.91</v>
      </c>
    </row>
    <row r="610" spans="1:4" s="17" customFormat="1" ht="25.5">
      <c r="A610" s="39" t="s">
        <v>67</v>
      </c>
      <c r="B610" s="135" t="s">
        <v>350</v>
      </c>
      <c r="C610" s="110">
        <v>240</v>
      </c>
      <c r="D610" s="129">
        <f t="shared" si="84"/>
        <v>923531.91</v>
      </c>
    </row>
    <row r="611" spans="1:4" s="17" customFormat="1" ht="12.75">
      <c r="A611" s="39" t="s">
        <v>24</v>
      </c>
      <c r="B611" s="135" t="s">
        <v>350</v>
      </c>
      <c r="C611" s="110">
        <v>244</v>
      </c>
      <c r="D611" s="129">
        <v>923531.91</v>
      </c>
    </row>
    <row r="612" spans="1:4" s="17" customFormat="1" ht="12.75">
      <c r="A612" s="39" t="s">
        <v>89</v>
      </c>
      <c r="B612" s="135" t="s">
        <v>350</v>
      </c>
      <c r="C612" s="110">
        <v>800</v>
      </c>
      <c r="D612" s="129">
        <f t="shared" ref="D612:D613" si="85">D613</f>
        <v>0</v>
      </c>
    </row>
    <row r="613" spans="1:4" s="17" customFormat="1" ht="12.75">
      <c r="A613" s="39" t="s">
        <v>198</v>
      </c>
      <c r="B613" s="135" t="s">
        <v>350</v>
      </c>
      <c r="C613" s="110">
        <v>830</v>
      </c>
      <c r="D613" s="129">
        <f t="shared" si="85"/>
        <v>0</v>
      </c>
    </row>
    <row r="614" spans="1:4" s="17" customFormat="1" ht="25.5">
      <c r="A614" s="39" t="s">
        <v>199</v>
      </c>
      <c r="B614" s="135" t="s">
        <v>350</v>
      </c>
      <c r="C614" s="110">
        <v>831</v>
      </c>
      <c r="D614" s="129">
        <v>0</v>
      </c>
    </row>
    <row r="615" spans="1:4" s="17" customFormat="1" ht="12.75">
      <c r="A615" s="39" t="s">
        <v>202</v>
      </c>
      <c r="B615" s="135" t="s">
        <v>351</v>
      </c>
      <c r="C615" s="49"/>
      <c r="D615" s="129">
        <f>D616</f>
        <v>1130600</v>
      </c>
    </row>
    <row r="616" spans="1:4" s="17" customFormat="1" ht="12.75">
      <c r="A616" s="39" t="s">
        <v>181</v>
      </c>
      <c r="B616" s="135" t="s">
        <v>351</v>
      </c>
      <c r="C616" s="49" t="s">
        <v>203</v>
      </c>
      <c r="D616" s="129">
        <f>D617</f>
        <v>1130600</v>
      </c>
    </row>
    <row r="617" spans="1:4" s="17" customFormat="1" ht="12.75">
      <c r="A617" s="39" t="s">
        <v>198</v>
      </c>
      <c r="B617" s="135" t="s">
        <v>351</v>
      </c>
      <c r="C617" s="49" t="s">
        <v>204</v>
      </c>
      <c r="D617" s="129">
        <f>D618</f>
        <v>1130600</v>
      </c>
    </row>
    <row r="618" spans="1:4" s="17" customFormat="1" ht="25.5">
      <c r="A618" s="39" t="s">
        <v>199</v>
      </c>
      <c r="B618" s="135" t="s">
        <v>351</v>
      </c>
      <c r="C618" s="49" t="s">
        <v>205</v>
      </c>
      <c r="D618" s="129">
        <v>1130600</v>
      </c>
    </row>
    <row r="619" spans="1:4" s="17" customFormat="1" ht="25.5">
      <c r="A619" s="39" t="s">
        <v>346</v>
      </c>
      <c r="B619" s="135" t="s">
        <v>347</v>
      </c>
      <c r="C619" s="136"/>
      <c r="D619" s="129">
        <f t="shared" ref="D619:D621" si="86">D620</f>
        <v>4916196.26</v>
      </c>
    </row>
    <row r="620" spans="1:4" s="5" customFormat="1" ht="12.75">
      <c r="A620" s="40" t="s">
        <v>225</v>
      </c>
      <c r="B620" s="26" t="s">
        <v>345</v>
      </c>
      <c r="C620" s="137"/>
      <c r="D620" s="130">
        <f t="shared" si="86"/>
        <v>4916196.26</v>
      </c>
    </row>
    <row r="621" spans="1:4" s="5" customFormat="1" ht="12.75">
      <c r="A621" s="40" t="s">
        <v>226</v>
      </c>
      <c r="B621" s="26" t="s">
        <v>345</v>
      </c>
      <c r="C621" s="137" t="s">
        <v>227</v>
      </c>
      <c r="D621" s="130">
        <f t="shared" si="86"/>
        <v>4916196.26</v>
      </c>
    </row>
    <row r="622" spans="1:4" s="5" customFormat="1" ht="12.75">
      <c r="A622" s="40" t="s">
        <v>225</v>
      </c>
      <c r="B622" s="26" t="s">
        <v>345</v>
      </c>
      <c r="C622" s="137" t="s">
        <v>228</v>
      </c>
      <c r="D622" s="130">
        <v>4916196.26</v>
      </c>
    </row>
    <row r="623" spans="1:4" s="5" customFormat="1" ht="27">
      <c r="A623" s="138" t="s">
        <v>341</v>
      </c>
      <c r="B623" s="139" t="s">
        <v>342</v>
      </c>
      <c r="C623" s="140"/>
      <c r="D623" s="141">
        <f>D624+D632+D628</f>
        <v>2894027.93</v>
      </c>
    </row>
    <row r="624" spans="1:4" s="5" customFormat="1" ht="12.75">
      <c r="A624" s="40" t="s">
        <v>305</v>
      </c>
      <c r="B624" s="23" t="s">
        <v>343</v>
      </c>
      <c r="C624" s="49"/>
      <c r="D624" s="129">
        <f>D625</f>
        <v>1144659.31</v>
      </c>
    </row>
    <row r="625" spans="1:4" s="5" customFormat="1" ht="25.5">
      <c r="A625" s="40" t="s">
        <v>86</v>
      </c>
      <c r="B625" s="23" t="s">
        <v>343</v>
      </c>
      <c r="C625" s="49">
        <v>200</v>
      </c>
      <c r="D625" s="129">
        <f>D626</f>
        <v>1144659.31</v>
      </c>
    </row>
    <row r="626" spans="1:4" s="5" customFormat="1" ht="25.5">
      <c r="A626" s="40" t="s">
        <v>67</v>
      </c>
      <c r="B626" s="23" t="s">
        <v>344</v>
      </c>
      <c r="C626" s="49">
        <v>240</v>
      </c>
      <c r="D626" s="129">
        <f>D627</f>
        <v>1144659.31</v>
      </c>
    </row>
    <row r="627" spans="1:4" s="5" customFormat="1" ht="12.75">
      <c r="A627" s="40" t="s">
        <v>102</v>
      </c>
      <c r="B627" s="23" t="s">
        <v>343</v>
      </c>
      <c r="C627" s="49">
        <v>244</v>
      </c>
      <c r="D627" s="129">
        <v>1144659.31</v>
      </c>
    </row>
    <row r="628" spans="1:4" s="5" customFormat="1" ht="12.75">
      <c r="A628" s="27" t="s">
        <v>521</v>
      </c>
      <c r="B628" s="26" t="s">
        <v>520</v>
      </c>
      <c r="C628" s="49"/>
      <c r="D628" s="129">
        <f>D629</f>
        <v>1159368.6200000001</v>
      </c>
    </row>
    <row r="629" spans="1:4" s="5" customFormat="1" ht="25.5">
      <c r="A629" s="27" t="s">
        <v>86</v>
      </c>
      <c r="B629" s="26" t="s">
        <v>520</v>
      </c>
      <c r="C629" s="49">
        <v>200</v>
      </c>
      <c r="D629" s="129">
        <f>D630</f>
        <v>1159368.6200000001</v>
      </c>
    </row>
    <row r="630" spans="1:4" s="5" customFormat="1" ht="25.5">
      <c r="A630" s="27" t="s">
        <v>67</v>
      </c>
      <c r="B630" s="26" t="s">
        <v>520</v>
      </c>
      <c r="C630" s="49">
        <v>240</v>
      </c>
      <c r="D630" s="129">
        <f>D631</f>
        <v>1159368.6200000001</v>
      </c>
    </row>
    <row r="631" spans="1:4" s="5" customFormat="1" ht="12.75">
      <c r="A631" s="27" t="s">
        <v>102</v>
      </c>
      <c r="B631" s="26" t="s">
        <v>520</v>
      </c>
      <c r="C631" s="49">
        <v>244</v>
      </c>
      <c r="D631" s="129">
        <v>1159368.6200000001</v>
      </c>
    </row>
    <row r="632" spans="1:4" s="5" customFormat="1" ht="12.75">
      <c r="A632" s="27" t="s">
        <v>405</v>
      </c>
      <c r="B632" s="75" t="s">
        <v>406</v>
      </c>
      <c r="C632" s="49"/>
      <c r="D632" s="129">
        <f>D633</f>
        <v>590000</v>
      </c>
    </row>
    <row r="633" spans="1:4" s="5" customFormat="1" ht="25.5">
      <c r="A633" s="27" t="s">
        <v>86</v>
      </c>
      <c r="B633" s="75" t="s">
        <v>406</v>
      </c>
      <c r="C633" s="49">
        <v>200</v>
      </c>
      <c r="D633" s="129">
        <f>D634</f>
        <v>590000</v>
      </c>
    </row>
    <row r="634" spans="1:4" s="5" customFormat="1" ht="25.5">
      <c r="A634" s="27" t="s">
        <v>67</v>
      </c>
      <c r="B634" s="75" t="s">
        <v>406</v>
      </c>
      <c r="C634" s="49">
        <v>240</v>
      </c>
      <c r="D634" s="129">
        <f>D635</f>
        <v>590000</v>
      </c>
    </row>
    <row r="635" spans="1:4" s="5" customFormat="1" ht="12.75">
      <c r="A635" s="27" t="s">
        <v>102</v>
      </c>
      <c r="B635" s="75" t="s">
        <v>406</v>
      </c>
      <c r="C635" s="49">
        <v>244</v>
      </c>
      <c r="D635" s="129">
        <f>719100-124036.86-5063.14</f>
        <v>590000</v>
      </c>
    </row>
    <row r="636" spans="1:4" s="5" customFormat="1" ht="12.75">
      <c r="B636" s="9"/>
      <c r="C636" s="142"/>
      <c r="D636" s="10"/>
    </row>
    <row r="637" spans="1:4" s="146" customFormat="1" ht="12.75">
      <c r="A637" s="143" t="s">
        <v>136</v>
      </c>
      <c r="B637" s="144"/>
      <c r="C637" s="145"/>
      <c r="D637" s="12">
        <f>D638+D643+D661+D678+D727+D748+D758+D770+D775+D852+D889+D903+D913+D921+D842+D950</f>
        <v>315600240.52000004</v>
      </c>
    </row>
    <row r="638" spans="1:4" s="17" customFormat="1" ht="13.5">
      <c r="A638" s="13" t="s">
        <v>138</v>
      </c>
      <c r="B638" s="14" t="s">
        <v>139</v>
      </c>
      <c r="C638" s="80"/>
      <c r="D638" s="16">
        <f t="shared" ref="D638:D639" si="87">D639</f>
        <v>3014668.29</v>
      </c>
    </row>
    <row r="639" spans="1:4" s="21" customFormat="1" ht="38.25">
      <c r="A639" s="40" t="s">
        <v>88</v>
      </c>
      <c r="B639" s="23" t="s">
        <v>162</v>
      </c>
      <c r="C639" s="49" t="s">
        <v>105</v>
      </c>
      <c r="D639" s="97">
        <f t="shared" si="87"/>
        <v>3014668.29</v>
      </c>
    </row>
    <row r="640" spans="1:4" s="21" customFormat="1" ht="12.75">
      <c r="A640" s="40" t="s">
        <v>66</v>
      </c>
      <c r="B640" s="23" t="s">
        <v>162</v>
      </c>
      <c r="C640" s="88">
        <v>120</v>
      </c>
      <c r="D640" s="97">
        <f>D641+D642</f>
        <v>3014668.29</v>
      </c>
    </row>
    <row r="641" spans="1:4" s="21" customFormat="1" ht="12.75">
      <c r="A641" s="40" t="s">
        <v>163</v>
      </c>
      <c r="B641" s="23" t="s">
        <v>162</v>
      </c>
      <c r="C641" s="88">
        <v>121</v>
      </c>
      <c r="D641" s="3">
        <v>2401367.06</v>
      </c>
    </row>
    <row r="642" spans="1:4" s="21" customFormat="1" ht="38.25">
      <c r="A642" s="40" t="s">
        <v>8</v>
      </c>
      <c r="B642" s="23" t="s">
        <v>162</v>
      </c>
      <c r="C642" s="88">
        <v>129</v>
      </c>
      <c r="D642" s="3">
        <v>613301.23</v>
      </c>
    </row>
    <row r="643" spans="1:4" s="17" customFormat="1" ht="13.5">
      <c r="A643" s="13" t="s">
        <v>140</v>
      </c>
      <c r="B643" s="14" t="s">
        <v>141</v>
      </c>
      <c r="C643" s="80"/>
      <c r="D643" s="16">
        <f>D644+D650</f>
        <v>5924250.4399999995</v>
      </c>
    </row>
    <row r="644" spans="1:4" s="21" customFormat="1" ht="12.75">
      <c r="A644" s="40" t="s">
        <v>164</v>
      </c>
      <c r="B644" s="28" t="s">
        <v>165</v>
      </c>
      <c r="C644" s="137"/>
      <c r="D644" s="113">
        <f>D645</f>
        <v>1496716.98</v>
      </c>
    </row>
    <row r="645" spans="1:4" s="21" customFormat="1" ht="12.75">
      <c r="A645" s="27" t="s">
        <v>65</v>
      </c>
      <c r="B645" s="23" t="s">
        <v>166</v>
      </c>
      <c r="C645" s="137"/>
      <c r="D645" s="3">
        <f>D647</f>
        <v>1496716.98</v>
      </c>
    </row>
    <row r="646" spans="1:4" s="21" customFormat="1" ht="38.25">
      <c r="A646" s="65" t="s">
        <v>88</v>
      </c>
      <c r="B646" s="23" t="s">
        <v>166</v>
      </c>
      <c r="C646" s="87">
        <v>100</v>
      </c>
      <c r="D646" s="3">
        <f>D647</f>
        <v>1496716.98</v>
      </c>
    </row>
    <row r="647" spans="1:4" s="21" customFormat="1" ht="12.75">
      <c r="A647" s="27" t="s">
        <v>66</v>
      </c>
      <c r="B647" s="23" t="s">
        <v>166</v>
      </c>
      <c r="C647" s="87">
        <v>120</v>
      </c>
      <c r="D647" s="3">
        <f>D648+D649</f>
        <v>1496716.98</v>
      </c>
    </row>
    <row r="648" spans="1:4" s="21" customFormat="1" ht="12.75">
      <c r="A648" s="27" t="s">
        <v>163</v>
      </c>
      <c r="B648" s="23" t="s">
        <v>166</v>
      </c>
      <c r="C648" s="87">
        <v>121</v>
      </c>
      <c r="D648" s="3">
        <v>1149552.21</v>
      </c>
    </row>
    <row r="649" spans="1:4" s="21" customFormat="1" ht="38.25">
      <c r="A649" s="27" t="s">
        <v>8</v>
      </c>
      <c r="B649" s="23" t="s">
        <v>166</v>
      </c>
      <c r="C649" s="87">
        <v>129</v>
      </c>
      <c r="D649" s="3">
        <v>347164.77</v>
      </c>
    </row>
    <row r="650" spans="1:4" s="21" customFormat="1" ht="25.5">
      <c r="A650" s="40" t="s">
        <v>167</v>
      </c>
      <c r="B650" s="23" t="s">
        <v>168</v>
      </c>
      <c r="C650" s="49"/>
      <c r="D650" s="97">
        <f>D651</f>
        <v>4427533.46</v>
      </c>
    </row>
    <row r="651" spans="1:4" s="21" customFormat="1" ht="12.75">
      <c r="A651" s="27" t="s">
        <v>65</v>
      </c>
      <c r="B651" s="23" t="s">
        <v>169</v>
      </c>
      <c r="C651" s="137"/>
      <c r="D651" s="3">
        <f>D653+D659</f>
        <v>4427533.46</v>
      </c>
    </row>
    <row r="652" spans="1:4" s="21" customFormat="1" ht="38.25">
      <c r="A652" s="65" t="s">
        <v>88</v>
      </c>
      <c r="B652" s="23" t="s">
        <v>169</v>
      </c>
      <c r="C652" s="87">
        <v>100</v>
      </c>
      <c r="D652" s="3">
        <f>D653</f>
        <v>3970455.31</v>
      </c>
    </row>
    <row r="653" spans="1:4" s="21" customFormat="1" ht="12.75">
      <c r="A653" s="27" t="s">
        <v>66</v>
      </c>
      <c r="B653" s="23" t="s">
        <v>169</v>
      </c>
      <c r="C653" s="87">
        <v>120</v>
      </c>
      <c r="D653" s="3">
        <f>D654+D655+D657+D656</f>
        <v>3970455.31</v>
      </c>
    </row>
    <row r="654" spans="1:4" s="21" customFormat="1" ht="12.75">
      <c r="A654" s="27" t="s">
        <v>9</v>
      </c>
      <c r="B654" s="23" t="s">
        <v>169</v>
      </c>
      <c r="C654" s="87">
        <v>121</v>
      </c>
      <c r="D654" s="3">
        <v>2924323.61</v>
      </c>
    </row>
    <row r="655" spans="1:4" s="21" customFormat="1" ht="25.5">
      <c r="A655" s="27" t="s">
        <v>170</v>
      </c>
      <c r="B655" s="23" t="s">
        <v>169</v>
      </c>
      <c r="C655" s="87">
        <v>122</v>
      </c>
      <c r="D655" s="3">
        <v>60010</v>
      </c>
    </row>
    <row r="656" spans="1:4" s="21" customFormat="1" ht="38.25">
      <c r="A656" s="40" t="s">
        <v>326</v>
      </c>
      <c r="B656" s="23" t="s">
        <v>169</v>
      </c>
      <c r="C656" s="87">
        <v>123</v>
      </c>
      <c r="D656" s="3">
        <v>111211.02</v>
      </c>
    </row>
    <row r="657" spans="1:4" s="21" customFormat="1" ht="38.25">
      <c r="A657" s="27" t="s">
        <v>8</v>
      </c>
      <c r="B657" s="23" t="s">
        <v>169</v>
      </c>
      <c r="C657" s="87">
        <v>129</v>
      </c>
      <c r="D657" s="3">
        <v>874910.68</v>
      </c>
    </row>
    <row r="658" spans="1:4" s="21" customFormat="1" ht="25.5">
      <c r="A658" s="27" t="s">
        <v>86</v>
      </c>
      <c r="B658" s="23" t="s">
        <v>169</v>
      </c>
      <c r="C658" s="87">
        <v>200</v>
      </c>
      <c r="D658" s="3">
        <f t="shared" ref="D658:D659" si="88">D659</f>
        <v>457078.15</v>
      </c>
    </row>
    <row r="659" spans="1:4" s="21" customFormat="1" ht="25.5">
      <c r="A659" s="27" t="s">
        <v>67</v>
      </c>
      <c r="B659" s="23" t="s">
        <v>169</v>
      </c>
      <c r="C659" s="87">
        <v>240</v>
      </c>
      <c r="D659" s="3">
        <f t="shared" si="88"/>
        <v>457078.15</v>
      </c>
    </row>
    <row r="660" spans="1:4" s="21" customFormat="1" ht="12.75">
      <c r="A660" s="27" t="s">
        <v>24</v>
      </c>
      <c r="B660" s="23" t="s">
        <v>169</v>
      </c>
      <c r="C660" s="87">
        <v>244</v>
      </c>
      <c r="D660" s="3">
        <v>457078.15</v>
      </c>
    </row>
    <row r="661" spans="1:4" s="17" customFormat="1" ht="13.5">
      <c r="A661" s="13" t="s">
        <v>142</v>
      </c>
      <c r="B661" s="14" t="s">
        <v>143</v>
      </c>
      <c r="C661" s="80"/>
      <c r="D661" s="16">
        <f>D662+D668</f>
        <v>2098027.88</v>
      </c>
    </row>
    <row r="662" spans="1:4" s="21" customFormat="1" ht="12.75">
      <c r="A662" s="40" t="s">
        <v>175</v>
      </c>
      <c r="B662" s="23" t="s">
        <v>176</v>
      </c>
      <c r="C662" s="49"/>
      <c r="D662" s="97">
        <f>D663</f>
        <v>1150736.6400000001</v>
      </c>
    </row>
    <row r="663" spans="1:4" s="21" customFormat="1" ht="12.75">
      <c r="A663" s="27" t="s">
        <v>65</v>
      </c>
      <c r="B663" s="23" t="s">
        <v>177</v>
      </c>
      <c r="C663" s="137"/>
      <c r="D663" s="3">
        <f>D665</f>
        <v>1150736.6400000001</v>
      </c>
    </row>
    <row r="664" spans="1:4" s="21" customFormat="1" ht="38.25">
      <c r="A664" s="65" t="s">
        <v>88</v>
      </c>
      <c r="B664" s="23" t="s">
        <v>177</v>
      </c>
      <c r="C664" s="87">
        <v>100</v>
      </c>
      <c r="D664" s="3">
        <f>D665</f>
        <v>1150736.6400000001</v>
      </c>
    </row>
    <row r="665" spans="1:4" s="21" customFormat="1" ht="12.75">
      <c r="A665" s="27" t="s">
        <v>66</v>
      </c>
      <c r="B665" s="23" t="s">
        <v>177</v>
      </c>
      <c r="C665" s="87">
        <v>120</v>
      </c>
      <c r="D665" s="3">
        <f>D666+D667</f>
        <v>1150736.6400000001</v>
      </c>
    </row>
    <row r="666" spans="1:4" s="21" customFormat="1" ht="12.75">
      <c r="A666" s="27" t="s">
        <v>9</v>
      </c>
      <c r="B666" s="23" t="s">
        <v>177</v>
      </c>
      <c r="C666" s="87">
        <v>121</v>
      </c>
      <c r="D666" s="3">
        <v>883822.31</v>
      </c>
    </row>
    <row r="667" spans="1:4" s="21" customFormat="1" ht="38.25">
      <c r="A667" s="27" t="s">
        <v>8</v>
      </c>
      <c r="B667" s="23" t="s">
        <v>177</v>
      </c>
      <c r="C667" s="87">
        <v>129</v>
      </c>
      <c r="D667" s="3">
        <v>266914.33</v>
      </c>
    </row>
    <row r="668" spans="1:4" s="21" customFormat="1" ht="25.5">
      <c r="A668" s="40" t="s">
        <v>172</v>
      </c>
      <c r="B668" s="23" t="s">
        <v>173</v>
      </c>
      <c r="C668" s="49"/>
      <c r="D668" s="97">
        <f>D669</f>
        <v>947291.23999999987</v>
      </c>
    </row>
    <row r="669" spans="1:4" s="21" customFormat="1" ht="12.75">
      <c r="A669" s="27" t="s">
        <v>65</v>
      </c>
      <c r="B669" s="23" t="s">
        <v>174</v>
      </c>
      <c r="C669" s="137"/>
      <c r="D669" s="3">
        <f>D671+D676</f>
        <v>947291.23999999987</v>
      </c>
    </row>
    <row r="670" spans="1:4" s="21" customFormat="1" ht="38.25">
      <c r="A670" s="65" t="s">
        <v>88</v>
      </c>
      <c r="B670" s="23" t="s">
        <v>174</v>
      </c>
      <c r="C670" s="87">
        <v>100</v>
      </c>
      <c r="D670" s="3">
        <f>D671</f>
        <v>894361.11999999988</v>
      </c>
    </row>
    <row r="671" spans="1:4" s="21" customFormat="1" ht="12.75">
      <c r="A671" s="27" t="s">
        <v>66</v>
      </c>
      <c r="B671" s="23" t="s">
        <v>174</v>
      </c>
      <c r="C671" s="87">
        <v>120</v>
      </c>
      <c r="D671" s="3">
        <f>D672+D673+D674</f>
        <v>894361.11999999988</v>
      </c>
    </row>
    <row r="672" spans="1:4" s="21" customFormat="1" ht="12.75">
      <c r="A672" s="27" t="s">
        <v>9</v>
      </c>
      <c r="B672" s="23" t="s">
        <v>174</v>
      </c>
      <c r="C672" s="87">
        <v>121</v>
      </c>
      <c r="D672" s="3">
        <v>662125.43999999994</v>
      </c>
    </row>
    <row r="673" spans="1:4" s="21" customFormat="1" ht="25.5">
      <c r="A673" s="27" t="s">
        <v>170</v>
      </c>
      <c r="B673" s="23" t="s">
        <v>174</v>
      </c>
      <c r="C673" s="87">
        <v>122</v>
      </c>
      <c r="D673" s="3">
        <v>34095.120000000003</v>
      </c>
    </row>
    <row r="674" spans="1:4" s="21" customFormat="1" ht="38.25">
      <c r="A674" s="27" t="s">
        <v>8</v>
      </c>
      <c r="B674" s="23" t="s">
        <v>174</v>
      </c>
      <c r="C674" s="87">
        <v>129</v>
      </c>
      <c r="D674" s="3">
        <v>198140.56</v>
      </c>
    </row>
    <row r="675" spans="1:4" s="21" customFormat="1" ht="25.5">
      <c r="A675" s="27" t="s">
        <v>86</v>
      </c>
      <c r="B675" s="23" t="s">
        <v>174</v>
      </c>
      <c r="C675" s="87">
        <v>200</v>
      </c>
      <c r="D675" s="3">
        <f t="shared" ref="D675:D676" si="89">D676</f>
        <v>52930.12</v>
      </c>
    </row>
    <row r="676" spans="1:4" s="21" customFormat="1" ht="25.5">
      <c r="A676" s="27" t="s">
        <v>67</v>
      </c>
      <c r="B676" s="23" t="s">
        <v>174</v>
      </c>
      <c r="C676" s="87">
        <v>240</v>
      </c>
      <c r="D676" s="3">
        <f t="shared" si="89"/>
        <v>52930.12</v>
      </c>
    </row>
    <row r="677" spans="1:4" s="21" customFormat="1" ht="12.75">
      <c r="A677" s="27" t="s">
        <v>24</v>
      </c>
      <c r="B677" s="23" t="s">
        <v>174</v>
      </c>
      <c r="C677" s="87">
        <v>244</v>
      </c>
      <c r="D677" s="3">
        <v>52930.12</v>
      </c>
    </row>
    <row r="678" spans="1:4" s="17" customFormat="1" ht="13.5">
      <c r="A678" s="13" t="s">
        <v>144</v>
      </c>
      <c r="B678" s="14" t="s">
        <v>145</v>
      </c>
      <c r="C678" s="80"/>
      <c r="D678" s="16">
        <f>D679</f>
        <v>136019514.18000004</v>
      </c>
    </row>
    <row r="679" spans="1:4" s="21" customFormat="1" ht="25.5">
      <c r="A679" s="40" t="s">
        <v>178</v>
      </c>
      <c r="B679" s="23" t="s">
        <v>179</v>
      </c>
      <c r="C679" s="49"/>
      <c r="D679" s="97">
        <f>D711+D688+D680+D684+D707</f>
        <v>136019514.18000004</v>
      </c>
    </row>
    <row r="680" spans="1:4" s="21" customFormat="1" ht="38.25">
      <c r="A680" s="27" t="s">
        <v>304</v>
      </c>
      <c r="B680" s="23" t="s">
        <v>424</v>
      </c>
      <c r="C680" s="87"/>
      <c r="D680" s="3">
        <f>D682</f>
        <v>5186.05</v>
      </c>
    </row>
    <row r="681" spans="1:4" s="21" customFormat="1" ht="25.5">
      <c r="A681" s="27" t="s">
        <v>86</v>
      </c>
      <c r="B681" s="23" t="s">
        <v>424</v>
      </c>
      <c r="C681" s="87">
        <v>200</v>
      </c>
      <c r="D681" s="3">
        <f t="shared" ref="D681:D682" si="90">D682</f>
        <v>5186.05</v>
      </c>
    </row>
    <row r="682" spans="1:4" s="21" customFormat="1" ht="25.5">
      <c r="A682" s="27" t="s">
        <v>67</v>
      </c>
      <c r="B682" s="23" t="s">
        <v>424</v>
      </c>
      <c r="C682" s="87">
        <v>240</v>
      </c>
      <c r="D682" s="3">
        <f t="shared" si="90"/>
        <v>5186.05</v>
      </c>
    </row>
    <row r="683" spans="1:4" s="21" customFormat="1" ht="12.75">
      <c r="A683" s="27" t="s">
        <v>102</v>
      </c>
      <c r="B683" s="23" t="s">
        <v>424</v>
      </c>
      <c r="C683" s="87">
        <v>244</v>
      </c>
      <c r="D683" s="3">
        <v>5186.05</v>
      </c>
    </row>
    <row r="684" spans="1:4" s="21" customFormat="1" ht="38.25">
      <c r="A684" s="27" t="s">
        <v>437</v>
      </c>
      <c r="B684" s="28" t="s">
        <v>438</v>
      </c>
      <c r="C684" s="137"/>
      <c r="D684" s="113">
        <f>D685</f>
        <v>28000</v>
      </c>
    </row>
    <row r="685" spans="1:4" s="21" customFormat="1" ht="25.5">
      <c r="A685" s="27" t="s">
        <v>86</v>
      </c>
      <c r="B685" s="28" t="s">
        <v>438</v>
      </c>
      <c r="C685" s="137" t="s">
        <v>111</v>
      </c>
      <c r="D685" s="113">
        <f>D686</f>
        <v>28000</v>
      </c>
    </row>
    <row r="686" spans="1:4" s="21" customFormat="1" ht="25.5">
      <c r="A686" s="27" t="s">
        <v>67</v>
      </c>
      <c r="B686" s="28" t="s">
        <v>438</v>
      </c>
      <c r="C686" s="137" t="s">
        <v>112</v>
      </c>
      <c r="D686" s="113">
        <f>D687</f>
        <v>28000</v>
      </c>
    </row>
    <row r="687" spans="1:4" s="21" customFormat="1" ht="12.75">
      <c r="A687" s="65" t="s">
        <v>24</v>
      </c>
      <c r="B687" s="28" t="s">
        <v>438</v>
      </c>
      <c r="C687" s="137" t="s">
        <v>70</v>
      </c>
      <c r="D687" s="113">
        <v>28000</v>
      </c>
    </row>
    <row r="688" spans="1:4" s="21" customFormat="1" ht="12.75">
      <c r="A688" s="72" t="s">
        <v>421</v>
      </c>
      <c r="B688" s="23" t="s">
        <v>368</v>
      </c>
      <c r="C688" s="137"/>
      <c r="D688" s="113">
        <f>D689+D698</f>
        <v>2065884.51</v>
      </c>
    </row>
    <row r="689" spans="1:4" s="21" customFormat="1" ht="38.25">
      <c r="A689" s="27" t="s">
        <v>423</v>
      </c>
      <c r="B689" s="28" t="s">
        <v>369</v>
      </c>
      <c r="C689" s="87"/>
      <c r="D689" s="113">
        <f>D691+D695</f>
        <v>1766929.53</v>
      </c>
    </row>
    <row r="690" spans="1:4" s="21" customFormat="1" ht="38.25">
      <c r="A690" s="27" t="s">
        <v>88</v>
      </c>
      <c r="B690" s="28" t="s">
        <v>369</v>
      </c>
      <c r="C690" s="87">
        <v>100</v>
      </c>
      <c r="D690" s="3">
        <f>D691</f>
        <v>1627350.53</v>
      </c>
    </row>
    <row r="691" spans="1:4" s="21" customFormat="1" ht="12.75">
      <c r="A691" s="27" t="s">
        <v>66</v>
      </c>
      <c r="B691" s="28" t="s">
        <v>369</v>
      </c>
      <c r="C691" s="87">
        <v>120</v>
      </c>
      <c r="D691" s="3">
        <f>D692+D694+D693</f>
        <v>1627350.53</v>
      </c>
    </row>
    <row r="692" spans="1:4" s="21" customFormat="1" ht="12.75">
      <c r="A692" s="27" t="s">
        <v>163</v>
      </c>
      <c r="B692" s="28" t="s">
        <v>369</v>
      </c>
      <c r="C692" s="87">
        <v>121</v>
      </c>
      <c r="D692" s="3">
        <v>1247946.2</v>
      </c>
    </row>
    <row r="693" spans="1:4" s="21" customFormat="1" ht="25.5">
      <c r="A693" s="27" t="s">
        <v>170</v>
      </c>
      <c r="B693" s="28" t="s">
        <v>369</v>
      </c>
      <c r="C693" s="87">
        <v>122</v>
      </c>
      <c r="D693" s="3">
        <v>7122.6</v>
      </c>
    </row>
    <row r="694" spans="1:4" s="21" customFormat="1" ht="38.25">
      <c r="A694" s="27" t="s">
        <v>8</v>
      </c>
      <c r="B694" s="28" t="s">
        <v>369</v>
      </c>
      <c r="C694" s="87">
        <v>129</v>
      </c>
      <c r="D694" s="3">
        <v>372281.73</v>
      </c>
    </row>
    <row r="695" spans="1:4" s="21" customFormat="1" ht="25.5">
      <c r="A695" s="27" t="s">
        <v>86</v>
      </c>
      <c r="B695" s="28" t="s">
        <v>369</v>
      </c>
      <c r="C695" s="49" t="s">
        <v>111</v>
      </c>
      <c r="D695" s="3">
        <f t="shared" ref="D695:D696" si="91">SUM(D696)</f>
        <v>139579</v>
      </c>
    </row>
    <row r="696" spans="1:4" s="21" customFormat="1" ht="25.5">
      <c r="A696" s="27" t="s">
        <v>67</v>
      </c>
      <c r="B696" s="28" t="s">
        <v>369</v>
      </c>
      <c r="C696" s="49" t="s">
        <v>112</v>
      </c>
      <c r="D696" s="3">
        <f t="shared" si="91"/>
        <v>139579</v>
      </c>
    </row>
    <row r="697" spans="1:4" s="21" customFormat="1" ht="12.75">
      <c r="A697" s="27" t="s">
        <v>24</v>
      </c>
      <c r="B697" s="28" t="s">
        <v>369</v>
      </c>
      <c r="C697" s="137" t="s">
        <v>70</v>
      </c>
      <c r="D697" s="3">
        <v>139579</v>
      </c>
    </row>
    <row r="698" spans="1:4" s="21" customFormat="1" ht="38.25">
      <c r="A698" s="40" t="s">
        <v>422</v>
      </c>
      <c r="B698" s="23" t="s">
        <v>370</v>
      </c>
      <c r="C698" s="137"/>
      <c r="D698" s="113">
        <f>D699+D704</f>
        <v>298954.98</v>
      </c>
    </row>
    <row r="699" spans="1:4" s="21" customFormat="1" ht="38.25">
      <c r="A699" s="27" t="s">
        <v>88</v>
      </c>
      <c r="B699" s="23" t="s">
        <v>370</v>
      </c>
      <c r="C699" s="87">
        <v>100</v>
      </c>
      <c r="D699" s="3">
        <f>D700</f>
        <v>127550.98</v>
      </c>
    </row>
    <row r="700" spans="1:4" s="21" customFormat="1" ht="12.75">
      <c r="A700" s="27" t="s">
        <v>66</v>
      </c>
      <c r="B700" s="23" t="s">
        <v>370</v>
      </c>
      <c r="C700" s="87">
        <v>120</v>
      </c>
      <c r="D700" s="3">
        <f>D701+D703+D702</f>
        <v>127550.98</v>
      </c>
    </row>
    <row r="701" spans="1:4" s="21" customFormat="1" ht="12.75">
      <c r="A701" s="27" t="s">
        <v>163</v>
      </c>
      <c r="B701" s="23" t="s">
        <v>370</v>
      </c>
      <c r="C701" s="87">
        <v>121</v>
      </c>
      <c r="D701" s="3">
        <v>97965.43</v>
      </c>
    </row>
    <row r="702" spans="1:4" s="21" customFormat="1" ht="25.5">
      <c r="A702" s="27" t="s">
        <v>170</v>
      </c>
      <c r="B702" s="23" t="s">
        <v>370</v>
      </c>
      <c r="C702" s="87">
        <v>122</v>
      </c>
      <c r="D702" s="3">
        <v>0</v>
      </c>
    </row>
    <row r="703" spans="1:4" s="21" customFormat="1" ht="38.25">
      <c r="A703" s="27" t="s">
        <v>8</v>
      </c>
      <c r="B703" s="23" t="s">
        <v>370</v>
      </c>
      <c r="C703" s="87">
        <v>129</v>
      </c>
      <c r="D703" s="3">
        <v>29585.55</v>
      </c>
    </row>
    <row r="704" spans="1:4" s="21" customFormat="1" ht="25.5">
      <c r="A704" s="27" t="s">
        <v>86</v>
      </c>
      <c r="B704" s="23" t="s">
        <v>370</v>
      </c>
      <c r="C704" s="49" t="s">
        <v>111</v>
      </c>
      <c r="D704" s="3">
        <f t="shared" ref="D704:D705" si="92">SUM(D705)</f>
        <v>171404</v>
      </c>
    </row>
    <row r="705" spans="1:4" s="21" customFormat="1" ht="25.5">
      <c r="A705" s="27" t="s">
        <v>67</v>
      </c>
      <c r="B705" s="23" t="s">
        <v>370</v>
      </c>
      <c r="C705" s="49" t="s">
        <v>112</v>
      </c>
      <c r="D705" s="3">
        <f t="shared" si="92"/>
        <v>171404</v>
      </c>
    </row>
    <row r="706" spans="1:4" s="21" customFormat="1" ht="12.75">
      <c r="A706" s="27" t="s">
        <v>24</v>
      </c>
      <c r="B706" s="23" t="s">
        <v>370</v>
      </c>
      <c r="C706" s="137" t="s">
        <v>70</v>
      </c>
      <c r="D706" s="3">
        <v>171404</v>
      </c>
    </row>
    <row r="707" spans="1:4" s="21" customFormat="1" ht="38.25">
      <c r="A707" s="27" t="s">
        <v>527</v>
      </c>
      <c r="B707" s="23" t="s">
        <v>528</v>
      </c>
      <c r="C707" s="137"/>
      <c r="D707" s="3">
        <f>D708</f>
        <v>748282.27999999991</v>
      </c>
    </row>
    <row r="708" spans="1:4" s="21" customFormat="1" ht="38.25">
      <c r="A708" s="27" t="s">
        <v>88</v>
      </c>
      <c r="B708" s="23" t="s">
        <v>528</v>
      </c>
      <c r="C708" s="137">
        <v>100</v>
      </c>
      <c r="D708" s="3">
        <f>D709+D710</f>
        <v>748282.27999999991</v>
      </c>
    </row>
    <row r="709" spans="1:4" s="21" customFormat="1" ht="25.5">
      <c r="A709" s="27" t="s">
        <v>170</v>
      </c>
      <c r="B709" s="23" t="s">
        <v>528</v>
      </c>
      <c r="C709" s="137">
        <v>122</v>
      </c>
      <c r="D709" s="3">
        <v>574717.56999999995</v>
      </c>
    </row>
    <row r="710" spans="1:4" s="21" customFormat="1" ht="38.25">
      <c r="A710" s="27" t="s">
        <v>8</v>
      </c>
      <c r="B710" s="23" t="s">
        <v>528</v>
      </c>
      <c r="C710" s="137">
        <v>129</v>
      </c>
      <c r="D710" s="3">
        <v>173564.71</v>
      </c>
    </row>
    <row r="711" spans="1:4" s="21" customFormat="1" ht="12.75">
      <c r="A711" s="27" t="s">
        <v>65</v>
      </c>
      <c r="B711" s="23" t="s">
        <v>180</v>
      </c>
      <c r="C711" s="137"/>
      <c r="D711" s="3">
        <f>D712+D718+D723+D720</f>
        <v>133172161.34000002</v>
      </c>
    </row>
    <row r="712" spans="1:4" s="21" customFormat="1" ht="38.25">
      <c r="A712" s="65" t="s">
        <v>88</v>
      </c>
      <c r="B712" s="23" t="s">
        <v>180</v>
      </c>
      <c r="C712" s="87">
        <v>100</v>
      </c>
      <c r="D712" s="3">
        <f>D713</f>
        <v>124187377.64</v>
      </c>
    </row>
    <row r="713" spans="1:4" s="21" customFormat="1" ht="12.75">
      <c r="A713" s="27" t="s">
        <v>66</v>
      </c>
      <c r="B713" s="23" t="s">
        <v>180</v>
      </c>
      <c r="C713" s="87">
        <v>120</v>
      </c>
      <c r="D713" s="3">
        <f>D714+D715+D716</f>
        <v>124187377.64</v>
      </c>
    </row>
    <row r="714" spans="1:4" s="21" customFormat="1" ht="12.75">
      <c r="A714" s="27" t="s">
        <v>9</v>
      </c>
      <c r="B714" s="23" t="s">
        <v>180</v>
      </c>
      <c r="C714" s="87">
        <v>121</v>
      </c>
      <c r="D714" s="3">
        <v>94754864.219999999</v>
      </c>
    </row>
    <row r="715" spans="1:4" s="21" customFormat="1" ht="25.5">
      <c r="A715" s="27" t="s">
        <v>170</v>
      </c>
      <c r="B715" s="23" t="s">
        <v>180</v>
      </c>
      <c r="C715" s="87">
        <v>122</v>
      </c>
      <c r="D715" s="3">
        <v>1266625.8600000001</v>
      </c>
    </row>
    <row r="716" spans="1:4" s="21" customFormat="1" ht="38.25">
      <c r="A716" s="27" t="s">
        <v>8</v>
      </c>
      <c r="B716" s="23" t="s">
        <v>180</v>
      </c>
      <c r="C716" s="87">
        <v>129</v>
      </c>
      <c r="D716" s="3">
        <v>28165887.559999999</v>
      </c>
    </row>
    <row r="717" spans="1:4" s="21" customFormat="1" ht="25.5">
      <c r="A717" s="27" t="s">
        <v>86</v>
      </c>
      <c r="B717" s="23" t="s">
        <v>180</v>
      </c>
      <c r="C717" s="87">
        <v>200</v>
      </c>
      <c r="D717" s="3">
        <f t="shared" ref="D717:D718" si="93">D718</f>
        <v>8827145.1500000004</v>
      </c>
    </row>
    <row r="718" spans="1:4" s="21" customFormat="1" ht="25.5">
      <c r="A718" s="27" t="s">
        <v>67</v>
      </c>
      <c r="B718" s="23" t="s">
        <v>180</v>
      </c>
      <c r="C718" s="87">
        <v>240</v>
      </c>
      <c r="D718" s="3">
        <f t="shared" si="93"/>
        <v>8827145.1500000004</v>
      </c>
    </row>
    <row r="719" spans="1:4" s="21" customFormat="1" ht="12.75">
      <c r="A719" s="27" t="s">
        <v>24</v>
      </c>
      <c r="B719" s="23" t="s">
        <v>180</v>
      </c>
      <c r="C719" s="87">
        <v>244</v>
      </c>
      <c r="D719" s="3">
        <v>8827145.1500000004</v>
      </c>
    </row>
    <row r="720" spans="1:4" s="21" customFormat="1" ht="12.75">
      <c r="A720" s="27" t="s">
        <v>90</v>
      </c>
      <c r="B720" s="23" t="s">
        <v>180</v>
      </c>
      <c r="C720" s="87">
        <v>300</v>
      </c>
      <c r="D720" s="3">
        <f>D721</f>
        <v>146086.29</v>
      </c>
    </row>
    <row r="721" spans="1:4" s="21" customFormat="1" ht="25.5">
      <c r="A721" s="27" t="s">
        <v>77</v>
      </c>
      <c r="B721" s="23" t="s">
        <v>180</v>
      </c>
      <c r="C721" s="87">
        <v>320</v>
      </c>
      <c r="D721" s="3">
        <f>D722</f>
        <v>146086.29</v>
      </c>
    </row>
    <row r="722" spans="1:4" s="21" customFormat="1" ht="25.5">
      <c r="A722" s="27" t="s">
        <v>20</v>
      </c>
      <c r="B722" s="23" t="s">
        <v>180</v>
      </c>
      <c r="C722" s="87">
        <v>321</v>
      </c>
      <c r="D722" s="3">
        <v>146086.29</v>
      </c>
    </row>
    <row r="723" spans="1:4" s="21" customFormat="1" ht="12.75">
      <c r="A723" s="40" t="s">
        <v>181</v>
      </c>
      <c r="B723" s="23" t="s">
        <v>180</v>
      </c>
      <c r="C723" s="87">
        <v>800</v>
      </c>
      <c r="D723" s="3">
        <f>D726+D724</f>
        <v>11552.26</v>
      </c>
    </row>
    <row r="724" spans="1:4" s="21" customFormat="1" ht="12.75">
      <c r="A724" s="27" t="s">
        <v>198</v>
      </c>
      <c r="B724" s="23" t="s">
        <v>180</v>
      </c>
      <c r="C724" s="87">
        <v>830</v>
      </c>
      <c r="D724" s="3">
        <f>D725</f>
        <v>0</v>
      </c>
    </row>
    <row r="725" spans="1:4" s="21" customFormat="1" ht="25.5">
      <c r="A725" s="65" t="s">
        <v>199</v>
      </c>
      <c r="B725" s="23" t="s">
        <v>180</v>
      </c>
      <c r="C725" s="87">
        <v>831</v>
      </c>
      <c r="D725" s="3">
        <v>0</v>
      </c>
    </row>
    <row r="726" spans="1:4" s="21" customFormat="1" ht="12.75">
      <c r="A726" s="27" t="s">
        <v>171</v>
      </c>
      <c r="B726" s="23" t="s">
        <v>180</v>
      </c>
      <c r="C726" s="87">
        <v>850</v>
      </c>
      <c r="D726" s="3">
        <v>11552.26</v>
      </c>
    </row>
    <row r="727" spans="1:4" s="17" customFormat="1" ht="13.5">
      <c r="A727" s="13" t="s">
        <v>146</v>
      </c>
      <c r="B727" s="14" t="s">
        <v>147</v>
      </c>
      <c r="C727" s="80"/>
      <c r="D727" s="16">
        <f>SUM(D737+D728)</f>
        <v>16252847.709999999</v>
      </c>
    </row>
    <row r="728" spans="1:4" s="17" customFormat="1" ht="12.75">
      <c r="A728" s="147" t="s">
        <v>146</v>
      </c>
      <c r="B728" s="34" t="s">
        <v>147</v>
      </c>
      <c r="C728" s="126"/>
      <c r="D728" s="3">
        <f>D729</f>
        <v>14126951.959999999</v>
      </c>
    </row>
    <row r="729" spans="1:4" s="17" customFormat="1" ht="12.75">
      <c r="A729" s="147" t="s">
        <v>490</v>
      </c>
      <c r="B729" s="34" t="s">
        <v>489</v>
      </c>
      <c r="C729" s="126"/>
      <c r="D729" s="3">
        <f>D730+D734</f>
        <v>14126951.959999999</v>
      </c>
    </row>
    <row r="730" spans="1:4" s="17" customFormat="1" ht="25.5">
      <c r="A730" s="147" t="s">
        <v>86</v>
      </c>
      <c r="B730" s="34" t="s">
        <v>489</v>
      </c>
      <c r="C730" s="126">
        <v>200</v>
      </c>
      <c r="D730" s="3">
        <f>D731</f>
        <v>13476951.959999999</v>
      </c>
    </row>
    <row r="731" spans="1:4" s="17" customFormat="1" ht="25.5">
      <c r="A731" s="147" t="s">
        <v>236</v>
      </c>
      <c r="B731" s="34" t="s">
        <v>489</v>
      </c>
      <c r="C731" s="126">
        <v>240</v>
      </c>
      <c r="D731" s="3">
        <f>D733+D732</f>
        <v>13476951.959999999</v>
      </c>
    </row>
    <row r="732" spans="1:4" s="17" customFormat="1" ht="25.5">
      <c r="A732" s="147" t="s">
        <v>382</v>
      </c>
      <c r="B732" s="34" t="s">
        <v>489</v>
      </c>
      <c r="C732" s="126">
        <v>243</v>
      </c>
      <c r="D732" s="3">
        <v>13312241.18</v>
      </c>
    </row>
    <row r="733" spans="1:4" s="17" customFormat="1" ht="12.75">
      <c r="A733" s="147" t="s">
        <v>102</v>
      </c>
      <c r="B733" s="34" t="s">
        <v>489</v>
      </c>
      <c r="C733" s="126">
        <v>244</v>
      </c>
      <c r="D733" s="3">
        <v>164710.78</v>
      </c>
    </row>
    <row r="734" spans="1:4" s="17" customFormat="1" ht="25.5">
      <c r="A734" s="147" t="s">
        <v>87</v>
      </c>
      <c r="B734" s="34" t="s">
        <v>489</v>
      </c>
      <c r="C734" s="126">
        <v>600</v>
      </c>
      <c r="D734" s="3">
        <f>D735</f>
        <v>650000</v>
      </c>
    </row>
    <row r="735" spans="1:4" s="17" customFormat="1" ht="12.75">
      <c r="A735" s="147" t="s">
        <v>54</v>
      </c>
      <c r="B735" s="34" t="s">
        <v>489</v>
      </c>
      <c r="C735" s="126">
        <v>610</v>
      </c>
      <c r="D735" s="3">
        <f>D736</f>
        <v>650000</v>
      </c>
    </row>
    <row r="736" spans="1:4" s="17" customFormat="1" ht="12.75">
      <c r="A736" s="147" t="s">
        <v>69</v>
      </c>
      <c r="B736" s="34" t="s">
        <v>489</v>
      </c>
      <c r="C736" s="126">
        <v>612</v>
      </c>
      <c r="D736" s="3">
        <v>650000</v>
      </c>
    </row>
    <row r="737" spans="1:4" s="21" customFormat="1" ht="12.75">
      <c r="A737" s="40" t="s">
        <v>182</v>
      </c>
      <c r="B737" s="23" t="s">
        <v>183</v>
      </c>
      <c r="C737" s="49"/>
      <c r="D737" s="3">
        <f>D738+D743+D740+D745</f>
        <v>2125895.75</v>
      </c>
    </row>
    <row r="738" spans="1:4" s="21" customFormat="1" ht="12.75">
      <c r="A738" s="27" t="s">
        <v>89</v>
      </c>
      <c r="B738" s="23" t="s">
        <v>183</v>
      </c>
      <c r="C738" s="49">
        <v>800</v>
      </c>
      <c r="D738" s="3">
        <f>D739</f>
        <v>0</v>
      </c>
    </row>
    <row r="739" spans="1:4" s="21" customFormat="1" ht="12.75">
      <c r="A739" s="40" t="s">
        <v>184</v>
      </c>
      <c r="B739" s="23" t="s">
        <v>183</v>
      </c>
      <c r="C739" s="49" t="s">
        <v>185</v>
      </c>
      <c r="D739" s="3">
        <v>0</v>
      </c>
    </row>
    <row r="740" spans="1:4" s="21" customFormat="1" ht="25.5">
      <c r="A740" s="36" t="s">
        <v>86</v>
      </c>
      <c r="B740" s="23" t="s">
        <v>183</v>
      </c>
      <c r="C740" s="49" t="s">
        <v>111</v>
      </c>
      <c r="D740" s="3">
        <f t="shared" ref="D740:D741" si="94">D741</f>
        <v>1012295.75</v>
      </c>
    </row>
    <row r="741" spans="1:4" s="21" customFormat="1" ht="25.5">
      <c r="A741" s="36" t="s">
        <v>236</v>
      </c>
      <c r="B741" s="23" t="s">
        <v>183</v>
      </c>
      <c r="C741" s="49" t="s">
        <v>112</v>
      </c>
      <c r="D741" s="3">
        <f t="shared" si="94"/>
        <v>1012295.75</v>
      </c>
    </row>
    <row r="742" spans="1:4" s="21" customFormat="1" ht="12.75">
      <c r="A742" s="36" t="s">
        <v>102</v>
      </c>
      <c r="B742" s="23" t="s">
        <v>183</v>
      </c>
      <c r="C742" s="49" t="s">
        <v>70</v>
      </c>
      <c r="D742" s="3">
        <v>1012295.75</v>
      </c>
    </row>
    <row r="743" spans="1:4" s="21" customFormat="1" ht="12.75">
      <c r="A743" s="36" t="s">
        <v>90</v>
      </c>
      <c r="B743" s="23" t="s">
        <v>183</v>
      </c>
      <c r="C743" s="49">
        <v>300</v>
      </c>
      <c r="D743" s="3">
        <f>D744</f>
        <v>930000</v>
      </c>
    </row>
    <row r="744" spans="1:4" s="21" customFormat="1" ht="25.5">
      <c r="A744" s="36" t="s">
        <v>77</v>
      </c>
      <c r="B744" s="23" t="s">
        <v>183</v>
      </c>
      <c r="C744" s="49">
        <v>320</v>
      </c>
      <c r="D744" s="3">
        <v>930000</v>
      </c>
    </row>
    <row r="745" spans="1:4" s="21" customFormat="1" ht="25.5">
      <c r="A745" s="36" t="s">
        <v>87</v>
      </c>
      <c r="B745" s="23" t="s">
        <v>183</v>
      </c>
      <c r="C745" s="49">
        <v>600</v>
      </c>
      <c r="D745" s="3">
        <f>D746</f>
        <v>183600</v>
      </c>
    </row>
    <row r="746" spans="1:4" s="21" customFormat="1" ht="12.75">
      <c r="A746" s="36" t="s">
        <v>54</v>
      </c>
      <c r="B746" s="23" t="s">
        <v>183</v>
      </c>
      <c r="C746" s="49">
        <v>610</v>
      </c>
      <c r="D746" s="3">
        <f>D747</f>
        <v>183600</v>
      </c>
    </row>
    <row r="747" spans="1:4" s="21" customFormat="1" ht="12.75">
      <c r="A747" s="36" t="s">
        <v>69</v>
      </c>
      <c r="B747" s="23" t="s">
        <v>183</v>
      </c>
      <c r="C747" s="49">
        <v>612</v>
      </c>
      <c r="D747" s="3">
        <v>183600</v>
      </c>
    </row>
    <row r="748" spans="1:4" s="17" customFormat="1" ht="27">
      <c r="A748" s="13" t="s">
        <v>148</v>
      </c>
      <c r="B748" s="14" t="s">
        <v>149</v>
      </c>
      <c r="C748" s="80"/>
      <c r="D748" s="16">
        <f>D749</f>
        <v>2896900.25</v>
      </c>
    </row>
    <row r="749" spans="1:4" s="17" customFormat="1" ht="25.5">
      <c r="A749" s="148" t="s">
        <v>425</v>
      </c>
      <c r="B749" s="26" t="s">
        <v>371</v>
      </c>
      <c r="C749" s="49"/>
      <c r="D749" s="3">
        <f>D750+D755</f>
        <v>2896900.25</v>
      </c>
    </row>
    <row r="750" spans="1:4" s="17" customFormat="1" ht="38.25">
      <c r="A750" s="27" t="s">
        <v>88</v>
      </c>
      <c r="B750" s="26" t="s">
        <v>371</v>
      </c>
      <c r="C750" s="87">
        <v>100</v>
      </c>
      <c r="D750" s="3">
        <f>D751</f>
        <v>2842799.24</v>
      </c>
    </row>
    <row r="751" spans="1:4" s="17" customFormat="1" ht="12.75">
      <c r="A751" s="27" t="s">
        <v>66</v>
      </c>
      <c r="B751" s="26" t="s">
        <v>371</v>
      </c>
      <c r="C751" s="87">
        <v>120</v>
      </c>
      <c r="D751" s="3">
        <f>D752+D754+D753</f>
        <v>2842799.24</v>
      </c>
    </row>
    <row r="752" spans="1:4" s="17" customFormat="1" ht="12.75">
      <c r="A752" s="27" t="s">
        <v>163</v>
      </c>
      <c r="B752" s="26" t="s">
        <v>371</v>
      </c>
      <c r="C752" s="87">
        <v>121</v>
      </c>
      <c r="D752" s="3">
        <v>2179880.23</v>
      </c>
    </row>
    <row r="753" spans="1:4" s="17" customFormat="1" ht="25.5">
      <c r="A753" s="27" t="s">
        <v>170</v>
      </c>
      <c r="B753" s="26" t="s">
        <v>371</v>
      </c>
      <c r="C753" s="87">
        <v>122</v>
      </c>
      <c r="D753" s="3">
        <v>5770</v>
      </c>
    </row>
    <row r="754" spans="1:4" s="17" customFormat="1" ht="38.25">
      <c r="A754" s="27" t="s">
        <v>8</v>
      </c>
      <c r="B754" s="26" t="s">
        <v>371</v>
      </c>
      <c r="C754" s="87">
        <v>129</v>
      </c>
      <c r="D754" s="3">
        <v>657149.01</v>
      </c>
    </row>
    <row r="755" spans="1:4" s="17" customFormat="1" ht="25.5">
      <c r="A755" s="27" t="s">
        <v>86</v>
      </c>
      <c r="B755" s="26" t="s">
        <v>371</v>
      </c>
      <c r="C755" s="87">
        <v>200</v>
      </c>
      <c r="D755" s="3">
        <f t="shared" ref="D755:D756" si="95">D756</f>
        <v>54101.01</v>
      </c>
    </row>
    <row r="756" spans="1:4" s="17" customFormat="1" ht="25.5">
      <c r="A756" s="27" t="s">
        <v>67</v>
      </c>
      <c r="B756" s="26" t="s">
        <v>371</v>
      </c>
      <c r="C756" s="87">
        <v>240</v>
      </c>
      <c r="D756" s="3">
        <f t="shared" si="95"/>
        <v>54101.01</v>
      </c>
    </row>
    <row r="757" spans="1:4" s="17" customFormat="1" ht="12.75">
      <c r="A757" s="27" t="s">
        <v>102</v>
      </c>
      <c r="B757" s="26" t="s">
        <v>371</v>
      </c>
      <c r="C757" s="87">
        <v>244</v>
      </c>
      <c r="D757" s="3">
        <v>54101.01</v>
      </c>
    </row>
    <row r="758" spans="1:4" s="17" customFormat="1" ht="27">
      <c r="A758" s="13" t="s">
        <v>150</v>
      </c>
      <c r="B758" s="14" t="s">
        <v>151</v>
      </c>
      <c r="C758" s="80"/>
      <c r="D758" s="16">
        <f>SUM(D759,D763)</f>
        <v>3314986.88</v>
      </c>
    </row>
    <row r="759" spans="1:4" s="21" customFormat="1" ht="25.5">
      <c r="A759" s="65" t="s">
        <v>186</v>
      </c>
      <c r="B759" s="23" t="s">
        <v>187</v>
      </c>
      <c r="C759" s="49"/>
      <c r="D759" s="97">
        <f>D761</f>
        <v>158594.54999999999</v>
      </c>
    </row>
    <row r="760" spans="1:4" s="21" customFormat="1" ht="25.5">
      <c r="A760" s="27" t="s">
        <v>86</v>
      </c>
      <c r="B760" s="23" t="s">
        <v>187</v>
      </c>
      <c r="C760" s="87">
        <v>200</v>
      </c>
      <c r="D760" s="3">
        <f t="shared" ref="D760:D761" si="96">D761</f>
        <v>158594.54999999999</v>
      </c>
    </row>
    <row r="761" spans="1:4" s="21" customFormat="1" ht="25.5">
      <c r="A761" s="27" t="s">
        <v>67</v>
      </c>
      <c r="B761" s="23" t="s">
        <v>187</v>
      </c>
      <c r="C761" s="87">
        <v>240</v>
      </c>
      <c r="D761" s="3">
        <f t="shared" si="96"/>
        <v>158594.54999999999</v>
      </c>
    </row>
    <row r="762" spans="1:4" s="21" customFormat="1" ht="12.75">
      <c r="A762" s="27" t="s">
        <v>102</v>
      </c>
      <c r="B762" s="23" t="s">
        <v>187</v>
      </c>
      <c r="C762" s="87">
        <v>244</v>
      </c>
      <c r="D762" s="3">
        <v>158594.54999999999</v>
      </c>
    </row>
    <row r="763" spans="1:4" s="21" customFormat="1" ht="12.75">
      <c r="A763" s="25" t="s">
        <v>188</v>
      </c>
      <c r="B763" s="23" t="s">
        <v>189</v>
      </c>
      <c r="C763" s="49"/>
      <c r="D763" s="97">
        <f>D769+D764</f>
        <v>3156392.33</v>
      </c>
    </row>
    <row r="764" spans="1:4" s="21" customFormat="1" ht="25.5">
      <c r="A764" s="27" t="s">
        <v>86</v>
      </c>
      <c r="B764" s="23" t="s">
        <v>189</v>
      </c>
      <c r="C764" s="87">
        <v>200</v>
      </c>
      <c r="D764" s="3">
        <f>D765</f>
        <v>2820931.33</v>
      </c>
    </row>
    <row r="765" spans="1:4" s="21" customFormat="1" ht="25.5">
      <c r="A765" s="27" t="s">
        <v>67</v>
      </c>
      <c r="B765" s="23" t="s">
        <v>189</v>
      </c>
      <c r="C765" s="87">
        <v>240</v>
      </c>
      <c r="D765" s="3">
        <f>D766+D767</f>
        <v>2820931.33</v>
      </c>
    </row>
    <row r="766" spans="1:4" s="21" customFormat="1" ht="12.75">
      <c r="A766" s="27" t="s">
        <v>102</v>
      </c>
      <c r="B766" s="23" t="s">
        <v>189</v>
      </c>
      <c r="C766" s="87">
        <v>244</v>
      </c>
      <c r="D766" s="97">
        <v>466187.45</v>
      </c>
    </row>
    <row r="767" spans="1:4" s="21" customFormat="1" ht="12.75">
      <c r="A767" s="27" t="s">
        <v>98</v>
      </c>
      <c r="B767" s="23" t="s">
        <v>189</v>
      </c>
      <c r="C767" s="87">
        <v>247</v>
      </c>
      <c r="D767" s="3">
        <v>2354743.88</v>
      </c>
    </row>
    <row r="768" spans="1:4" s="21" customFormat="1" ht="12.75">
      <c r="A768" s="40" t="s">
        <v>181</v>
      </c>
      <c r="B768" s="23" t="s">
        <v>189</v>
      </c>
      <c r="C768" s="87">
        <v>800</v>
      </c>
      <c r="D768" s="97">
        <f>D769</f>
        <v>335461</v>
      </c>
    </row>
    <row r="769" spans="1:4" s="21" customFormat="1" ht="12.75">
      <c r="A769" s="27" t="s">
        <v>171</v>
      </c>
      <c r="B769" s="23" t="s">
        <v>189</v>
      </c>
      <c r="C769" s="87">
        <v>850</v>
      </c>
      <c r="D769" s="97">
        <v>335461</v>
      </c>
    </row>
    <row r="770" spans="1:4" s="17" customFormat="1" ht="13.5">
      <c r="A770" s="13" t="s">
        <v>152</v>
      </c>
      <c r="B770" s="14" t="s">
        <v>153</v>
      </c>
      <c r="C770" s="80"/>
      <c r="D770" s="16">
        <f>SUM(D771)</f>
        <v>2594864.7599999998</v>
      </c>
    </row>
    <row r="771" spans="1:4" s="21" customFormat="1" ht="12.75">
      <c r="A771" s="27" t="s">
        <v>190</v>
      </c>
      <c r="B771" s="157" t="s">
        <v>191</v>
      </c>
      <c r="C771" s="77"/>
      <c r="D771" s="71">
        <f>D774</f>
        <v>2594864.7599999998</v>
      </c>
    </row>
    <row r="772" spans="1:4" s="21" customFormat="1" ht="12.75">
      <c r="A772" s="27" t="s">
        <v>90</v>
      </c>
      <c r="B772" s="157" t="s">
        <v>191</v>
      </c>
      <c r="C772" s="79">
        <v>300</v>
      </c>
      <c r="D772" s="3">
        <f t="shared" ref="D772:D773" si="97">D773</f>
        <v>2594864.7599999998</v>
      </c>
    </row>
    <row r="773" spans="1:4" s="21" customFormat="1" ht="12.75">
      <c r="A773" s="27" t="s">
        <v>192</v>
      </c>
      <c r="B773" s="157" t="s">
        <v>191</v>
      </c>
      <c r="C773" s="79">
        <v>310</v>
      </c>
      <c r="D773" s="3">
        <f t="shared" si="97"/>
        <v>2594864.7599999998</v>
      </c>
    </row>
    <row r="774" spans="1:4" s="21" customFormat="1" ht="12.75">
      <c r="A774" s="27" t="s">
        <v>193</v>
      </c>
      <c r="B774" s="157" t="s">
        <v>191</v>
      </c>
      <c r="C774" s="79">
        <v>312</v>
      </c>
      <c r="D774" s="3">
        <f>2532132.82+62731.94</f>
        <v>2594864.7599999998</v>
      </c>
    </row>
    <row r="775" spans="1:4" s="17" customFormat="1" ht="13.5">
      <c r="A775" s="95" t="s">
        <v>154</v>
      </c>
      <c r="B775" s="14" t="s">
        <v>155</v>
      </c>
      <c r="C775" s="80"/>
      <c r="D775" s="16">
        <f>D776+D784+D780+D809+D838</f>
        <v>63706871.989999995</v>
      </c>
    </row>
    <row r="776" spans="1:4" s="17" customFormat="1" ht="25.5">
      <c r="A776" s="27" t="s">
        <v>494</v>
      </c>
      <c r="B776" s="126" t="s">
        <v>400</v>
      </c>
      <c r="C776" s="123"/>
      <c r="D776" s="97">
        <f t="shared" ref="D776:D778" si="98">D777</f>
        <v>488963.79</v>
      </c>
    </row>
    <row r="777" spans="1:4" s="17" customFormat="1" ht="12.75">
      <c r="A777" s="27" t="s">
        <v>84</v>
      </c>
      <c r="B777" s="149" t="s">
        <v>400</v>
      </c>
      <c r="C777" s="116">
        <v>400</v>
      </c>
      <c r="D777" s="113">
        <f t="shared" si="98"/>
        <v>488963.79</v>
      </c>
    </row>
    <row r="778" spans="1:4" s="17" customFormat="1" ht="12.75">
      <c r="A778" s="27" t="s">
        <v>85</v>
      </c>
      <c r="B778" s="122" t="s">
        <v>400</v>
      </c>
      <c r="C778" s="116">
        <v>410</v>
      </c>
      <c r="D778" s="3">
        <f t="shared" si="98"/>
        <v>488963.79</v>
      </c>
    </row>
    <row r="779" spans="1:4" s="17" customFormat="1" ht="25.5">
      <c r="A779" s="27" t="s">
        <v>109</v>
      </c>
      <c r="B779" s="122" t="s">
        <v>400</v>
      </c>
      <c r="C779" s="116">
        <v>414</v>
      </c>
      <c r="D779" s="3">
        <v>488963.79</v>
      </c>
    </row>
    <row r="780" spans="1:4" s="17" customFormat="1" ht="12.75">
      <c r="A780" s="25" t="s">
        <v>415</v>
      </c>
      <c r="B780" s="26" t="s">
        <v>372</v>
      </c>
      <c r="C780" s="49"/>
      <c r="D780" s="3">
        <f>D782</f>
        <v>6448682.8099999996</v>
      </c>
    </row>
    <row r="781" spans="1:4" s="17" customFormat="1" ht="25.5">
      <c r="A781" s="27" t="s">
        <v>86</v>
      </c>
      <c r="B781" s="26" t="s">
        <v>372</v>
      </c>
      <c r="C781" s="87">
        <v>200</v>
      </c>
      <c r="D781" s="3">
        <f t="shared" ref="D781" si="99">D782</f>
        <v>6448682.8099999996</v>
      </c>
    </row>
    <row r="782" spans="1:4" s="17" customFormat="1" ht="25.5">
      <c r="A782" s="27" t="s">
        <v>67</v>
      </c>
      <c r="B782" s="26" t="s">
        <v>372</v>
      </c>
      <c r="C782" s="87">
        <v>240</v>
      </c>
      <c r="D782" s="3">
        <f>D783</f>
        <v>6448682.8099999996</v>
      </c>
    </row>
    <row r="783" spans="1:4" s="17" customFormat="1" ht="12.75">
      <c r="A783" s="27" t="s">
        <v>24</v>
      </c>
      <c r="B783" s="26" t="s">
        <v>372</v>
      </c>
      <c r="C783" s="87">
        <v>244</v>
      </c>
      <c r="D783" s="3">
        <v>6448682.8099999996</v>
      </c>
    </row>
    <row r="784" spans="1:4" s="21" customFormat="1" ht="12.75">
      <c r="A784" s="27" t="s">
        <v>194</v>
      </c>
      <c r="B784" s="75" t="s">
        <v>195</v>
      </c>
      <c r="C784" s="87"/>
      <c r="D784" s="3">
        <f>D785+D793+D797+D822+D814+D818</f>
        <v>22986028.91</v>
      </c>
    </row>
    <row r="785" spans="1:4" s="21" customFormat="1" ht="12.75">
      <c r="A785" s="27" t="s">
        <v>196</v>
      </c>
      <c r="B785" s="75" t="s">
        <v>197</v>
      </c>
      <c r="C785" s="87"/>
      <c r="D785" s="3">
        <f>D786+D790</f>
        <v>1624085.73</v>
      </c>
    </row>
    <row r="786" spans="1:4" s="21" customFormat="1" ht="25.5">
      <c r="A786" s="27" t="s">
        <v>86</v>
      </c>
      <c r="B786" s="75" t="s">
        <v>197</v>
      </c>
      <c r="C786" s="87">
        <v>200</v>
      </c>
      <c r="D786" s="3">
        <f>D787</f>
        <v>1624085.73</v>
      </c>
    </row>
    <row r="787" spans="1:4" s="21" customFormat="1" ht="25.5">
      <c r="A787" s="27" t="s">
        <v>67</v>
      </c>
      <c r="B787" s="75" t="s">
        <v>197</v>
      </c>
      <c r="C787" s="87">
        <v>240</v>
      </c>
      <c r="D787" s="3">
        <f>D788+D789</f>
        <v>1624085.73</v>
      </c>
    </row>
    <row r="788" spans="1:4" s="21" customFormat="1" ht="12.75">
      <c r="A788" s="27" t="s">
        <v>24</v>
      </c>
      <c r="B788" s="75" t="s">
        <v>197</v>
      </c>
      <c r="C788" s="87">
        <v>244</v>
      </c>
      <c r="D788" s="97">
        <v>536256</v>
      </c>
    </row>
    <row r="789" spans="1:4" s="21" customFormat="1" ht="12.75">
      <c r="A789" s="27" t="s">
        <v>98</v>
      </c>
      <c r="B789" s="75" t="s">
        <v>197</v>
      </c>
      <c r="C789" s="87">
        <v>247</v>
      </c>
      <c r="D789" s="3">
        <v>1087829.73</v>
      </c>
    </row>
    <row r="790" spans="1:4" s="21" customFormat="1" ht="12.75">
      <c r="A790" s="27" t="s">
        <v>84</v>
      </c>
      <c r="B790" s="75" t="s">
        <v>197</v>
      </c>
      <c r="C790" s="87">
        <v>400</v>
      </c>
      <c r="D790" s="3">
        <f t="shared" ref="D790:D791" si="100">D791</f>
        <v>0</v>
      </c>
    </row>
    <row r="791" spans="1:4" s="21" customFormat="1" ht="12.75">
      <c r="A791" s="27" t="s">
        <v>85</v>
      </c>
      <c r="B791" s="75" t="s">
        <v>197</v>
      </c>
      <c r="C791" s="87">
        <v>410</v>
      </c>
      <c r="D791" s="3">
        <f t="shared" si="100"/>
        <v>0</v>
      </c>
    </row>
    <row r="792" spans="1:4" s="21" customFormat="1" ht="25.5">
      <c r="A792" s="27" t="s">
        <v>109</v>
      </c>
      <c r="B792" s="75" t="s">
        <v>197</v>
      </c>
      <c r="C792" s="87">
        <v>414</v>
      </c>
      <c r="D792" s="3">
        <v>0</v>
      </c>
    </row>
    <row r="793" spans="1:4" s="21" customFormat="1" ht="12.75">
      <c r="A793" s="27" t="s">
        <v>306</v>
      </c>
      <c r="B793" s="75" t="s">
        <v>307</v>
      </c>
      <c r="C793" s="87"/>
      <c r="D793" s="3">
        <f>D794</f>
        <v>11736068.810000001</v>
      </c>
    </row>
    <row r="794" spans="1:4" s="21" customFormat="1" ht="25.5">
      <c r="A794" s="27" t="s">
        <v>86</v>
      </c>
      <c r="B794" s="75" t="s">
        <v>307</v>
      </c>
      <c r="C794" s="87">
        <v>200</v>
      </c>
      <c r="D794" s="3">
        <f t="shared" ref="D794:D795" si="101">D795</f>
        <v>11736068.810000001</v>
      </c>
    </row>
    <row r="795" spans="1:4" s="21" customFormat="1" ht="25.5">
      <c r="A795" s="27" t="s">
        <v>67</v>
      </c>
      <c r="B795" s="75" t="s">
        <v>307</v>
      </c>
      <c r="C795" s="87">
        <v>240</v>
      </c>
      <c r="D795" s="3">
        <f t="shared" si="101"/>
        <v>11736068.810000001</v>
      </c>
    </row>
    <row r="796" spans="1:4" s="21" customFormat="1" ht="12.75">
      <c r="A796" s="27" t="s">
        <v>102</v>
      </c>
      <c r="B796" s="75" t="s">
        <v>307</v>
      </c>
      <c r="C796" s="87">
        <v>244</v>
      </c>
      <c r="D796" s="3">
        <v>11736068.810000001</v>
      </c>
    </row>
    <row r="797" spans="1:4" s="21" customFormat="1" ht="12.75">
      <c r="A797" s="27" t="s">
        <v>308</v>
      </c>
      <c r="B797" s="75" t="s">
        <v>309</v>
      </c>
      <c r="C797" s="87"/>
      <c r="D797" s="3">
        <f>D798+D806+D803</f>
        <v>5716550.8899999997</v>
      </c>
    </row>
    <row r="798" spans="1:4" s="21" customFormat="1" ht="25.5">
      <c r="A798" s="27" t="s">
        <v>86</v>
      </c>
      <c r="B798" s="75" t="s">
        <v>309</v>
      </c>
      <c r="C798" s="87">
        <v>200</v>
      </c>
      <c r="D798" s="3">
        <f>D799</f>
        <v>5317145.6900000004</v>
      </c>
    </row>
    <row r="799" spans="1:4" s="21" customFormat="1" ht="25.5">
      <c r="A799" s="27" t="s">
        <v>67</v>
      </c>
      <c r="B799" s="75" t="s">
        <v>309</v>
      </c>
      <c r="C799" s="87">
        <v>240</v>
      </c>
      <c r="D799" s="3">
        <f>D801+D802+D800</f>
        <v>5317145.6900000004</v>
      </c>
    </row>
    <row r="800" spans="1:4" s="21" customFormat="1" ht="25.5">
      <c r="A800" s="40" t="s">
        <v>515</v>
      </c>
      <c r="B800" s="75" t="s">
        <v>309</v>
      </c>
      <c r="C800" s="87">
        <v>243</v>
      </c>
      <c r="D800" s="3">
        <v>97542.24</v>
      </c>
    </row>
    <row r="801" spans="1:4" s="21" customFormat="1" ht="12.75">
      <c r="A801" s="40" t="s">
        <v>24</v>
      </c>
      <c r="B801" s="75" t="s">
        <v>309</v>
      </c>
      <c r="C801" s="87">
        <v>244</v>
      </c>
      <c r="D801" s="97">
        <v>2935074.58</v>
      </c>
    </row>
    <row r="802" spans="1:4" s="21" customFormat="1" ht="12.75">
      <c r="A802" s="27" t="s">
        <v>98</v>
      </c>
      <c r="B802" s="75" t="s">
        <v>309</v>
      </c>
      <c r="C802" s="87">
        <v>247</v>
      </c>
      <c r="D802" s="113">
        <v>2284528.87</v>
      </c>
    </row>
    <row r="803" spans="1:4" s="21" customFormat="1" ht="12.75">
      <c r="A803" s="27" t="s">
        <v>84</v>
      </c>
      <c r="B803" s="75" t="s">
        <v>309</v>
      </c>
      <c r="C803" s="87" t="s">
        <v>215</v>
      </c>
      <c r="D803" s="113">
        <f>D804</f>
        <v>235229.64</v>
      </c>
    </row>
    <row r="804" spans="1:4" s="21" customFormat="1" ht="12.75">
      <c r="A804" s="27" t="s">
        <v>85</v>
      </c>
      <c r="B804" s="75" t="s">
        <v>309</v>
      </c>
      <c r="C804" s="87" t="s">
        <v>216</v>
      </c>
      <c r="D804" s="113">
        <f>D805</f>
        <v>235229.64</v>
      </c>
    </row>
    <row r="805" spans="1:4" s="21" customFormat="1" ht="25.5">
      <c r="A805" s="27" t="s">
        <v>217</v>
      </c>
      <c r="B805" s="75" t="s">
        <v>309</v>
      </c>
      <c r="C805" s="87" t="s">
        <v>218</v>
      </c>
      <c r="D805" s="113">
        <v>235229.64</v>
      </c>
    </row>
    <row r="806" spans="1:4" s="21" customFormat="1" ht="12.75">
      <c r="A806" s="40" t="s">
        <v>181</v>
      </c>
      <c r="B806" s="75" t="s">
        <v>309</v>
      </c>
      <c r="C806" s="87">
        <v>800</v>
      </c>
      <c r="D806" s="3">
        <f>D807+D808</f>
        <v>164175.56</v>
      </c>
    </row>
    <row r="807" spans="1:4" s="21" customFormat="1" ht="12.75">
      <c r="A807" s="27" t="s">
        <v>198</v>
      </c>
      <c r="B807" s="75" t="s">
        <v>309</v>
      </c>
      <c r="C807" s="87">
        <v>830</v>
      </c>
      <c r="D807" s="113">
        <v>92912.56</v>
      </c>
    </row>
    <row r="808" spans="1:4" s="21" customFormat="1" ht="12.75">
      <c r="A808" s="27" t="s">
        <v>171</v>
      </c>
      <c r="B808" s="75" t="s">
        <v>309</v>
      </c>
      <c r="C808" s="87">
        <v>850</v>
      </c>
      <c r="D808" s="113">
        <f>93421-22158</f>
        <v>71263</v>
      </c>
    </row>
    <row r="809" spans="1:4" s="21" customFormat="1" ht="25.5">
      <c r="A809" s="27" t="s">
        <v>522</v>
      </c>
      <c r="B809" s="75" t="s">
        <v>441</v>
      </c>
      <c r="C809" s="87"/>
      <c r="D809" s="113">
        <f>D810</f>
        <v>9770120.8399999999</v>
      </c>
    </row>
    <row r="810" spans="1:4" s="21" customFormat="1" ht="25.5">
      <c r="A810" s="27" t="s">
        <v>86</v>
      </c>
      <c r="B810" s="75" t="s">
        <v>441</v>
      </c>
      <c r="C810" s="87">
        <v>200</v>
      </c>
      <c r="D810" s="113">
        <f>D811</f>
        <v>9770120.8399999999</v>
      </c>
    </row>
    <row r="811" spans="1:4" s="21" customFormat="1" ht="25.5">
      <c r="A811" s="27" t="s">
        <v>67</v>
      </c>
      <c r="B811" s="75" t="s">
        <v>441</v>
      </c>
      <c r="C811" s="87">
        <v>240</v>
      </c>
      <c r="D811" s="113">
        <f>D813+D812</f>
        <v>9770120.8399999999</v>
      </c>
    </row>
    <row r="812" spans="1:4" s="21" customFormat="1" ht="25.5">
      <c r="A812" s="65" t="s">
        <v>382</v>
      </c>
      <c r="B812" s="75" t="s">
        <v>441</v>
      </c>
      <c r="C812" s="87">
        <v>243</v>
      </c>
      <c r="D812" s="113">
        <v>9770120.8399999999</v>
      </c>
    </row>
    <row r="813" spans="1:4" s="21" customFormat="1" ht="12.75">
      <c r="A813" s="27" t="s">
        <v>24</v>
      </c>
      <c r="B813" s="75" t="s">
        <v>441</v>
      </c>
      <c r="C813" s="87">
        <v>244</v>
      </c>
      <c r="D813" s="113">
        <f>9233380-9233380</f>
        <v>0</v>
      </c>
    </row>
    <row r="814" spans="1:4" s="17" customFormat="1" ht="25.5">
      <c r="A814" s="27" t="s">
        <v>506</v>
      </c>
      <c r="B814" s="75" t="s">
        <v>325</v>
      </c>
      <c r="C814" s="87"/>
      <c r="D814" s="3">
        <f t="shared" ref="D814:D815" si="102">D815</f>
        <v>530682.5</v>
      </c>
    </row>
    <row r="815" spans="1:4" s="17" customFormat="1" ht="25.5">
      <c r="A815" s="27" t="s">
        <v>86</v>
      </c>
      <c r="B815" s="75" t="s">
        <v>325</v>
      </c>
      <c r="C815" s="87">
        <v>200</v>
      </c>
      <c r="D815" s="3">
        <f t="shared" si="102"/>
        <v>530682.5</v>
      </c>
    </row>
    <row r="816" spans="1:4" s="17" customFormat="1" ht="25.5">
      <c r="A816" s="27" t="s">
        <v>67</v>
      </c>
      <c r="B816" s="75" t="s">
        <v>325</v>
      </c>
      <c r="C816" s="87">
        <v>240</v>
      </c>
      <c r="D816" s="3">
        <f>D817</f>
        <v>530682.5</v>
      </c>
    </row>
    <row r="817" spans="1:4" s="17" customFormat="1" ht="12.75">
      <c r="A817" s="27" t="s">
        <v>102</v>
      </c>
      <c r="B817" s="75" t="s">
        <v>325</v>
      </c>
      <c r="C817" s="87">
        <v>244</v>
      </c>
      <c r="D817" s="3">
        <v>530682.5</v>
      </c>
    </row>
    <row r="818" spans="1:4" s="17" customFormat="1" ht="51">
      <c r="A818" s="153" t="s">
        <v>532</v>
      </c>
      <c r="B818" s="75" t="s">
        <v>531</v>
      </c>
      <c r="C818" s="87"/>
      <c r="D818" s="3">
        <f>D819</f>
        <v>45000</v>
      </c>
    </row>
    <row r="819" spans="1:4" s="17" customFormat="1" ht="25.5">
      <c r="A819" s="27" t="s">
        <v>86</v>
      </c>
      <c r="B819" s="75" t="s">
        <v>531</v>
      </c>
      <c r="C819" s="87">
        <v>200</v>
      </c>
      <c r="D819" s="3">
        <f>D820</f>
        <v>45000</v>
      </c>
    </row>
    <row r="820" spans="1:4" s="17" customFormat="1" ht="25.5">
      <c r="A820" s="27" t="s">
        <v>67</v>
      </c>
      <c r="B820" s="75" t="s">
        <v>531</v>
      </c>
      <c r="C820" s="87">
        <v>240</v>
      </c>
      <c r="D820" s="3">
        <f>D821</f>
        <v>45000</v>
      </c>
    </row>
    <row r="821" spans="1:4" s="17" customFormat="1" ht="12.75">
      <c r="A821" s="27" t="s">
        <v>24</v>
      </c>
      <c r="B821" s="75" t="s">
        <v>531</v>
      </c>
      <c r="C821" s="87">
        <v>244</v>
      </c>
      <c r="D821" s="3">
        <v>45000</v>
      </c>
    </row>
    <row r="822" spans="1:4" s="21" customFormat="1" ht="12.75">
      <c r="A822" s="27" t="s">
        <v>495</v>
      </c>
      <c r="B822" s="75" t="s">
        <v>310</v>
      </c>
      <c r="C822" s="87"/>
      <c r="D822" s="3">
        <f>D823+D826+D830+D834</f>
        <v>3333640.98</v>
      </c>
    </row>
    <row r="823" spans="1:4" s="21" customFormat="1" ht="25.5">
      <c r="A823" s="27" t="s">
        <v>86</v>
      </c>
      <c r="B823" s="75" t="s">
        <v>310</v>
      </c>
      <c r="C823" s="87">
        <v>200</v>
      </c>
      <c r="D823" s="3">
        <f t="shared" ref="D823:D824" si="103">D824</f>
        <v>220534.99</v>
      </c>
    </row>
    <row r="824" spans="1:4" s="21" customFormat="1" ht="25.5">
      <c r="A824" s="27" t="s">
        <v>67</v>
      </c>
      <c r="B824" s="75" t="s">
        <v>310</v>
      </c>
      <c r="C824" s="87">
        <v>240</v>
      </c>
      <c r="D824" s="3">
        <f t="shared" si="103"/>
        <v>220534.99</v>
      </c>
    </row>
    <row r="825" spans="1:4" s="21" customFormat="1" ht="12.75">
      <c r="A825" s="27" t="s">
        <v>24</v>
      </c>
      <c r="B825" s="75" t="s">
        <v>310</v>
      </c>
      <c r="C825" s="87">
        <v>244</v>
      </c>
      <c r="D825" s="97">
        <f>500000-279465.01</f>
        <v>220534.99</v>
      </c>
    </row>
    <row r="826" spans="1:4" s="21" customFormat="1" ht="38.25">
      <c r="A826" s="27" t="s">
        <v>476</v>
      </c>
      <c r="B826" s="75" t="s">
        <v>475</v>
      </c>
      <c r="C826" s="137"/>
      <c r="D826" s="3">
        <f>D827</f>
        <v>1608905.99</v>
      </c>
    </row>
    <row r="827" spans="1:4" s="21" customFormat="1" ht="12.75">
      <c r="A827" s="27" t="s">
        <v>181</v>
      </c>
      <c r="B827" s="75" t="s">
        <v>475</v>
      </c>
      <c r="C827" s="137" t="s">
        <v>203</v>
      </c>
      <c r="D827" s="3">
        <f>D828</f>
        <v>1608905.99</v>
      </c>
    </row>
    <row r="828" spans="1:4" s="21" customFormat="1" ht="38.25">
      <c r="A828" s="27" t="s">
        <v>221</v>
      </c>
      <c r="B828" s="75" t="s">
        <v>475</v>
      </c>
      <c r="C828" s="137" t="s">
        <v>222</v>
      </c>
      <c r="D828" s="3">
        <f>D829</f>
        <v>1608905.99</v>
      </c>
    </row>
    <row r="829" spans="1:4" s="21" customFormat="1" ht="38.25">
      <c r="A829" s="27" t="s">
        <v>223</v>
      </c>
      <c r="B829" s="75" t="s">
        <v>475</v>
      </c>
      <c r="C829" s="137" t="s">
        <v>224</v>
      </c>
      <c r="D829" s="3">
        <v>1608905.99</v>
      </c>
    </row>
    <row r="830" spans="1:4" s="21" customFormat="1" ht="25.5">
      <c r="A830" s="27" t="s">
        <v>477</v>
      </c>
      <c r="B830" s="75" t="s">
        <v>474</v>
      </c>
      <c r="C830" s="137"/>
      <c r="D830" s="3">
        <f>D831</f>
        <v>993300</v>
      </c>
    </row>
    <row r="831" spans="1:4" s="21" customFormat="1" ht="12.75">
      <c r="A831" s="27" t="s">
        <v>181</v>
      </c>
      <c r="B831" s="75" t="s">
        <v>474</v>
      </c>
      <c r="C831" s="137" t="s">
        <v>203</v>
      </c>
      <c r="D831" s="3">
        <f>D832</f>
        <v>993300</v>
      </c>
    </row>
    <row r="832" spans="1:4" s="21" customFormat="1" ht="38.25">
      <c r="A832" s="27" t="s">
        <v>221</v>
      </c>
      <c r="B832" s="75" t="s">
        <v>474</v>
      </c>
      <c r="C832" s="137" t="s">
        <v>222</v>
      </c>
      <c r="D832" s="3">
        <f>D833</f>
        <v>993300</v>
      </c>
    </row>
    <row r="833" spans="1:4" s="21" customFormat="1" ht="38.25">
      <c r="A833" s="27" t="s">
        <v>223</v>
      </c>
      <c r="B833" s="75" t="s">
        <v>474</v>
      </c>
      <c r="C833" s="137" t="s">
        <v>224</v>
      </c>
      <c r="D833" s="3">
        <v>993300</v>
      </c>
    </row>
    <row r="834" spans="1:4" s="21" customFormat="1" ht="38.25">
      <c r="A834" s="27" t="s">
        <v>507</v>
      </c>
      <c r="B834" s="75" t="s">
        <v>508</v>
      </c>
      <c r="C834" s="137"/>
      <c r="D834" s="3">
        <f t="shared" ref="D834:D835" si="104">D835</f>
        <v>510900</v>
      </c>
    </row>
    <row r="835" spans="1:4" s="21" customFormat="1" ht="12.75">
      <c r="A835" s="27" t="s">
        <v>89</v>
      </c>
      <c r="B835" s="75" t="s">
        <v>508</v>
      </c>
      <c r="C835" s="137" t="s">
        <v>203</v>
      </c>
      <c r="D835" s="3">
        <f t="shared" si="104"/>
        <v>510900</v>
      </c>
    </row>
    <row r="836" spans="1:4" s="21" customFormat="1" ht="38.25">
      <c r="A836" s="27" t="s">
        <v>221</v>
      </c>
      <c r="B836" s="75" t="s">
        <v>508</v>
      </c>
      <c r="C836" s="137" t="s">
        <v>222</v>
      </c>
      <c r="D836" s="3">
        <f>D837</f>
        <v>510900</v>
      </c>
    </row>
    <row r="837" spans="1:4" s="21" customFormat="1" ht="38.25">
      <c r="A837" s="27" t="s">
        <v>223</v>
      </c>
      <c r="B837" s="75" t="s">
        <v>508</v>
      </c>
      <c r="C837" s="137" t="s">
        <v>224</v>
      </c>
      <c r="D837" s="3">
        <v>510900</v>
      </c>
    </row>
    <row r="838" spans="1:4" s="21" customFormat="1" ht="38.25">
      <c r="A838" s="27" t="s">
        <v>472</v>
      </c>
      <c r="B838" s="75" t="s">
        <v>471</v>
      </c>
      <c r="C838" s="137"/>
      <c r="D838" s="3">
        <f>D839</f>
        <v>24013075.640000001</v>
      </c>
    </row>
    <row r="839" spans="1:4" s="21" customFormat="1" ht="12.75">
      <c r="A839" s="27" t="s">
        <v>84</v>
      </c>
      <c r="B839" s="75" t="s">
        <v>471</v>
      </c>
      <c r="C839" s="137" t="s">
        <v>215</v>
      </c>
      <c r="D839" s="3">
        <f>D840</f>
        <v>24013075.640000001</v>
      </c>
    </row>
    <row r="840" spans="1:4" s="21" customFormat="1" ht="12.75">
      <c r="A840" s="27" t="s">
        <v>85</v>
      </c>
      <c r="B840" s="75" t="s">
        <v>471</v>
      </c>
      <c r="C840" s="137" t="s">
        <v>216</v>
      </c>
      <c r="D840" s="3">
        <f>D841</f>
        <v>24013075.640000001</v>
      </c>
    </row>
    <row r="841" spans="1:4" s="21" customFormat="1" ht="25.5">
      <c r="A841" s="27" t="s">
        <v>109</v>
      </c>
      <c r="B841" s="75" t="s">
        <v>471</v>
      </c>
      <c r="C841" s="137" t="s">
        <v>401</v>
      </c>
      <c r="D841" s="3">
        <v>24013075.640000001</v>
      </c>
    </row>
    <row r="842" spans="1:4" s="21" customFormat="1" ht="27">
      <c r="A842" s="138" t="s">
        <v>466</v>
      </c>
      <c r="B842" s="162" t="s">
        <v>464</v>
      </c>
      <c r="C842" s="163"/>
      <c r="D842" s="164">
        <f>D843</f>
        <v>2232218.8200000003</v>
      </c>
    </row>
    <row r="843" spans="1:4" s="21" customFormat="1" ht="12.75">
      <c r="A843" s="40" t="s">
        <v>202</v>
      </c>
      <c r="B843" s="75" t="s">
        <v>465</v>
      </c>
      <c r="C843" s="137"/>
      <c r="D843" s="3">
        <f>D848+D844</f>
        <v>2232218.8200000003</v>
      </c>
    </row>
    <row r="844" spans="1:4" s="21" customFormat="1" ht="25.5">
      <c r="A844" s="40" t="s">
        <v>86</v>
      </c>
      <c r="B844" s="75" t="s">
        <v>465</v>
      </c>
      <c r="C844" s="137">
        <v>200</v>
      </c>
      <c r="D844" s="3">
        <f>D845</f>
        <v>47684.04</v>
      </c>
    </row>
    <row r="845" spans="1:4" s="21" customFormat="1" ht="25.5">
      <c r="A845" s="40" t="s">
        <v>67</v>
      </c>
      <c r="B845" s="75" t="s">
        <v>465</v>
      </c>
      <c r="C845" s="137">
        <v>240</v>
      </c>
      <c r="D845" s="3">
        <f>D846+D847</f>
        <v>47684.04</v>
      </c>
    </row>
    <row r="846" spans="1:4" s="21" customFormat="1" ht="12.75">
      <c r="A846" s="40" t="s">
        <v>24</v>
      </c>
      <c r="B846" s="75" t="s">
        <v>465</v>
      </c>
      <c r="C846" s="137">
        <v>244</v>
      </c>
      <c r="D846" s="3">
        <v>1000</v>
      </c>
    </row>
    <row r="847" spans="1:4" s="21" customFormat="1" ht="12.75">
      <c r="A847" s="40" t="s">
        <v>98</v>
      </c>
      <c r="B847" s="75" t="s">
        <v>465</v>
      </c>
      <c r="C847" s="137">
        <v>247</v>
      </c>
      <c r="D847" s="3">
        <v>46684.04</v>
      </c>
    </row>
    <row r="848" spans="1:4" s="21" customFormat="1" ht="12.75">
      <c r="A848" s="40" t="s">
        <v>89</v>
      </c>
      <c r="B848" s="75" t="s">
        <v>465</v>
      </c>
      <c r="C848" s="137" t="s">
        <v>203</v>
      </c>
      <c r="D848" s="3">
        <f>D849+D851</f>
        <v>2184534.7800000003</v>
      </c>
    </row>
    <row r="849" spans="1:4" s="21" customFormat="1" ht="12.75">
      <c r="A849" s="40" t="s">
        <v>198</v>
      </c>
      <c r="B849" s="75" t="s">
        <v>465</v>
      </c>
      <c r="C849" s="137" t="s">
        <v>204</v>
      </c>
      <c r="D849" s="3">
        <f>D850</f>
        <v>1081785.83</v>
      </c>
    </row>
    <row r="850" spans="1:4" s="21" customFormat="1" ht="63.75">
      <c r="A850" s="40" t="s">
        <v>467</v>
      </c>
      <c r="B850" s="75" t="s">
        <v>465</v>
      </c>
      <c r="C850" s="137" t="s">
        <v>205</v>
      </c>
      <c r="D850" s="3">
        <v>1081785.83</v>
      </c>
    </row>
    <row r="851" spans="1:4" s="21" customFormat="1" ht="12.75">
      <c r="A851" s="40" t="s">
        <v>171</v>
      </c>
      <c r="B851" s="75" t="s">
        <v>465</v>
      </c>
      <c r="C851" s="23" t="s">
        <v>238</v>
      </c>
      <c r="D851" s="97">
        <v>1102748.95</v>
      </c>
    </row>
    <row r="852" spans="1:4" s="17" customFormat="1" ht="13.5">
      <c r="A852" s="13" t="s">
        <v>156</v>
      </c>
      <c r="B852" s="14" t="s">
        <v>157</v>
      </c>
      <c r="C852" s="80"/>
      <c r="D852" s="16">
        <f>D853+D869+D874</f>
        <v>31460973.800000001</v>
      </c>
    </row>
    <row r="853" spans="1:4" s="21" customFormat="1" ht="25.5">
      <c r="A853" s="27" t="s">
        <v>213</v>
      </c>
      <c r="B853" s="26" t="s">
        <v>214</v>
      </c>
      <c r="C853" s="49"/>
      <c r="D853" s="113">
        <f>D858+D865+D854</f>
        <v>24172992.859999999</v>
      </c>
    </row>
    <row r="854" spans="1:4" s="21" customFormat="1" ht="25.5">
      <c r="A854" s="27" t="s">
        <v>486</v>
      </c>
      <c r="B854" s="26" t="s">
        <v>389</v>
      </c>
      <c r="C854" s="49"/>
      <c r="D854" s="113">
        <f t="shared" ref="D854:D855" si="105">D855</f>
        <v>0</v>
      </c>
    </row>
    <row r="855" spans="1:4" s="21" customFormat="1" ht="12.75">
      <c r="A855" s="27" t="s">
        <v>84</v>
      </c>
      <c r="B855" s="26" t="s">
        <v>389</v>
      </c>
      <c r="C855" s="49" t="s">
        <v>215</v>
      </c>
      <c r="D855" s="113">
        <f t="shared" si="105"/>
        <v>0</v>
      </c>
    </row>
    <row r="856" spans="1:4" s="21" customFormat="1" ht="12.75">
      <c r="A856" s="27" t="s">
        <v>85</v>
      </c>
      <c r="B856" s="26" t="s">
        <v>389</v>
      </c>
      <c r="C856" s="49" t="s">
        <v>216</v>
      </c>
      <c r="D856" s="113">
        <f>D857</f>
        <v>0</v>
      </c>
    </row>
    <row r="857" spans="1:4" s="21" customFormat="1" ht="25.5">
      <c r="A857" s="27" t="s">
        <v>217</v>
      </c>
      <c r="B857" s="26" t="s">
        <v>389</v>
      </c>
      <c r="C857" s="49" t="s">
        <v>218</v>
      </c>
      <c r="D857" s="113">
        <v>0</v>
      </c>
    </row>
    <row r="858" spans="1:4" s="21" customFormat="1" ht="38.25">
      <c r="A858" s="27" t="s">
        <v>429</v>
      </c>
      <c r="B858" s="26" t="s">
        <v>390</v>
      </c>
      <c r="C858" s="49"/>
      <c r="D858" s="113">
        <f>D862+D859</f>
        <v>19165412.859999999</v>
      </c>
    </row>
    <row r="859" spans="1:4" s="21" customFormat="1" ht="25.5">
      <c r="A859" s="27" t="s">
        <v>86</v>
      </c>
      <c r="B859" s="26" t="s">
        <v>390</v>
      </c>
      <c r="C859" s="49">
        <v>200</v>
      </c>
      <c r="D859" s="113">
        <f>D860</f>
        <v>57496.24</v>
      </c>
    </row>
    <row r="860" spans="1:4" s="21" customFormat="1" ht="25.5">
      <c r="A860" s="27" t="s">
        <v>67</v>
      </c>
      <c r="B860" s="26" t="s">
        <v>390</v>
      </c>
      <c r="C860" s="49">
        <v>240</v>
      </c>
      <c r="D860" s="113">
        <f>D861</f>
        <v>57496.24</v>
      </c>
    </row>
    <row r="861" spans="1:4" s="21" customFormat="1" ht="12.75">
      <c r="A861" s="27" t="s">
        <v>24</v>
      </c>
      <c r="B861" s="26" t="s">
        <v>390</v>
      </c>
      <c r="C861" s="49">
        <v>244</v>
      </c>
      <c r="D861" s="113">
        <v>57496.24</v>
      </c>
    </row>
    <row r="862" spans="1:4" s="21" customFormat="1" ht="12.75">
      <c r="A862" s="27" t="s">
        <v>84</v>
      </c>
      <c r="B862" s="26" t="s">
        <v>390</v>
      </c>
      <c r="C862" s="49" t="s">
        <v>215</v>
      </c>
      <c r="D862" s="113">
        <f>D864</f>
        <v>19107916.620000001</v>
      </c>
    </row>
    <row r="863" spans="1:4" s="21" customFormat="1" ht="12.75">
      <c r="A863" s="27" t="s">
        <v>85</v>
      </c>
      <c r="B863" s="26" t="s">
        <v>390</v>
      </c>
      <c r="C863" s="49" t="s">
        <v>216</v>
      </c>
      <c r="D863" s="113">
        <f>D864</f>
        <v>19107916.620000001</v>
      </c>
    </row>
    <row r="864" spans="1:4" s="21" customFormat="1" ht="25.5">
      <c r="A864" s="27" t="s">
        <v>217</v>
      </c>
      <c r="B864" s="26" t="s">
        <v>390</v>
      </c>
      <c r="C864" s="49" t="s">
        <v>218</v>
      </c>
      <c r="D864" s="113">
        <v>19107916.620000001</v>
      </c>
    </row>
    <row r="865" spans="1:4" s="21" customFormat="1" ht="38.25">
      <c r="A865" s="27" t="s">
        <v>430</v>
      </c>
      <c r="B865" s="26" t="s">
        <v>391</v>
      </c>
      <c r="C865" s="49"/>
      <c r="D865" s="113">
        <f>D866</f>
        <v>5007580</v>
      </c>
    </row>
    <row r="866" spans="1:4" s="21" customFormat="1" ht="12.75">
      <c r="A866" s="27" t="s">
        <v>90</v>
      </c>
      <c r="B866" s="26" t="s">
        <v>391</v>
      </c>
      <c r="C866" s="49" t="s">
        <v>209</v>
      </c>
      <c r="D866" s="113">
        <f>D868</f>
        <v>5007580</v>
      </c>
    </row>
    <row r="867" spans="1:4" s="21" customFormat="1" ht="25.5">
      <c r="A867" s="25" t="s">
        <v>77</v>
      </c>
      <c r="B867" s="26" t="s">
        <v>391</v>
      </c>
      <c r="C867" s="49" t="s">
        <v>210</v>
      </c>
      <c r="D867" s="113">
        <f>D868</f>
        <v>5007580</v>
      </c>
    </row>
    <row r="868" spans="1:4" s="21" customFormat="1" ht="12.75">
      <c r="A868" s="25" t="s">
        <v>256</v>
      </c>
      <c r="B868" s="26" t="s">
        <v>391</v>
      </c>
      <c r="C868" s="49" t="s">
        <v>324</v>
      </c>
      <c r="D868" s="113">
        <v>5007580</v>
      </c>
    </row>
    <row r="869" spans="1:4" s="21" customFormat="1" ht="25.5">
      <c r="A869" s="25" t="s">
        <v>219</v>
      </c>
      <c r="B869" s="37" t="s">
        <v>220</v>
      </c>
      <c r="C869" s="88"/>
      <c r="D869" s="3">
        <f>SUM(D870)</f>
        <v>0</v>
      </c>
    </row>
    <row r="870" spans="1:4" s="21" customFormat="1" ht="38.25">
      <c r="A870" s="25" t="s">
        <v>426</v>
      </c>
      <c r="B870" s="37" t="s">
        <v>392</v>
      </c>
      <c r="C870" s="87"/>
      <c r="D870" s="3">
        <f>D871</f>
        <v>0</v>
      </c>
    </row>
    <row r="871" spans="1:4" s="21" customFormat="1" ht="12.75">
      <c r="A871" s="40" t="s">
        <v>181</v>
      </c>
      <c r="B871" s="37" t="s">
        <v>392</v>
      </c>
      <c r="C871" s="137" t="s">
        <v>203</v>
      </c>
      <c r="D871" s="3">
        <f>D872</f>
        <v>0</v>
      </c>
    </row>
    <row r="872" spans="1:4" s="21" customFormat="1" ht="38.25">
      <c r="A872" s="40" t="s">
        <v>221</v>
      </c>
      <c r="B872" s="37" t="s">
        <v>392</v>
      </c>
      <c r="C872" s="137" t="s">
        <v>222</v>
      </c>
      <c r="D872" s="3">
        <f>D873</f>
        <v>0</v>
      </c>
    </row>
    <row r="873" spans="1:4" s="21" customFormat="1" ht="38.25">
      <c r="A873" s="40" t="s">
        <v>223</v>
      </c>
      <c r="B873" s="37" t="s">
        <v>392</v>
      </c>
      <c r="C873" s="137" t="s">
        <v>224</v>
      </c>
      <c r="D873" s="3">
        <v>0</v>
      </c>
    </row>
    <row r="874" spans="1:4" s="21" customFormat="1" ht="12.75">
      <c r="A874" s="65" t="s">
        <v>206</v>
      </c>
      <c r="B874" s="37" t="s">
        <v>207</v>
      </c>
      <c r="C874" s="137"/>
      <c r="D874" s="3">
        <f>D876+D885</f>
        <v>7287980.9400000004</v>
      </c>
    </row>
    <row r="875" spans="1:4" s="21" customFormat="1" ht="12.75">
      <c r="A875" s="165" t="s">
        <v>427</v>
      </c>
      <c r="B875" s="37" t="s">
        <v>393</v>
      </c>
      <c r="C875" s="137"/>
      <c r="D875" s="3">
        <f>D876</f>
        <v>7219303.8100000005</v>
      </c>
    </row>
    <row r="876" spans="1:4" s="21" customFormat="1" ht="38.25">
      <c r="A876" s="40" t="s">
        <v>208</v>
      </c>
      <c r="B876" s="37" t="s">
        <v>394</v>
      </c>
      <c r="C876" s="88"/>
      <c r="D876" s="3">
        <f>D878+D883</f>
        <v>7219303.8100000005</v>
      </c>
    </row>
    <row r="877" spans="1:4" s="21" customFormat="1" ht="38.25">
      <c r="A877" s="65" t="s">
        <v>88</v>
      </c>
      <c r="B877" s="37" t="s">
        <v>394</v>
      </c>
      <c r="C877" s="87">
        <v>100</v>
      </c>
      <c r="D877" s="3">
        <f>D878</f>
        <v>6843846.8100000005</v>
      </c>
    </row>
    <row r="878" spans="1:4" s="21" customFormat="1" ht="12.75">
      <c r="A878" s="27" t="s">
        <v>66</v>
      </c>
      <c r="B878" s="37" t="s">
        <v>394</v>
      </c>
      <c r="C878" s="87">
        <v>120</v>
      </c>
      <c r="D878" s="3">
        <f>D879+D880+D881</f>
        <v>6843846.8100000005</v>
      </c>
    </row>
    <row r="879" spans="1:4" s="21" customFormat="1" ht="12.75">
      <c r="A879" s="27" t="s">
        <v>9</v>
      </c>
      <c r="B879" s="37" t="s">
        <v>394</v>
      </c>
      <c r="C879" s="87">
        <v>121</v>
      </c>
      <c r="D879" s="3">
        <f>4991784.8+166693</f>
        <v>5158477.8</v>
      </c>
    </row>
    <row r="880" spans="1:4" s="21" customFormat="1" ht="25.5">
      <c r="A880" s="27" t="s">
        <v>170</v>
      </c>
      <c r="B880" s="37" t="s">
        <v>394</v>
      </c>
      <c r="C880" s="87">
        <v>122</v>
      </c>
      <c r="D880" s="3">
        <f>160000-121910.47</f>
        <v>38089.53</v>
      </c>
    </row>
    <row r="881" spans="1:4" s="21" customFormat="1" ht="38.25">
      <c r="A881" s="27" t="s">
        <v>8</v>
      </c>
      <c r="B881" s="37" t="s">
        <v>394</v>
      </c>
      <c r="C881" s="87">
        <v>129</v>
      </c>
      <c r="D881" s="3">
        <f>1507519.01+139760.47</f>
        <v>1647279.48</v>
      </c>
    </row>
    <row r="882" spans="1:4" s="21" customFormat="1" ht="25.5">
      <c r="A882" s="27" t="s">
        <v>86</v>
      </c>
      <c r="B882" s="37" t="s">
        <v>394</v>
      </c>
      <c r="C882" s="87">
        <v>200</v>
      </c>
      <c r="D882" s="3">
        <f t="shared" ref="D882:D883" si="106">D883</f>
        <v>375457</v>
      </c>
    </row>
    <row r="883" spans="1:4" s="21" customFormat="1" ht="25.5">
      <c r="A883" s="27" t="s">
        <v>67</v>
      </c>
      <c r="B883" s="37" t="s">
        <v>394</v>
      </c>
      <c r="C883" s="87">
        <v>240</v>
      </c>
      <c r="D883" s="3">
        <f t="shared" si="106"/>
        <v>375457</v>
      </c>
    </row>
    <row r="884" spans="1:4" s="21" customFormat="1" ht="12.75">
      <c r="A884" s="27" t="s">
        <v>24</v>
      </c>
      <c r="B884" s="37" t="s">
        <v>394</v>
      </c>
      <c r="C884" s="87">
        <v>244</v>
      </c>
      <c r="D884" s="3">
        <f>560000-184543</f>
        <v>375457</v>
      </c>
    </row>
    <row r="885" spans="1:4" s="21" customFormat="1" ht="25.5">
      <c r="A885" s="65" t="s">
        <v>428</v>
      </c>
      <c r="B885" s="37" t="s">
        <v>395</v>
      </c>
      <c r="C885" s="137"/>
      <c r="D885" s="3">
        <f>D887</f>
        <v>68677.13</v>
      </c>
    </row>
    <row r="886" spans="1:4" s="21" customFormat="1" ht="12.75">
      <c r="A886" s="27" t="s">
        <v>90</v>
      </c>
      <c r="B886" s="37" t="s">
        <v>395</v>
      </c>
      <c r="C886" s="137" t="s">
        <v>209</v>
      </c>
      <c r="D886" s="3">
        <f t="shared" ref="D886:D887" si="107">D887</f>
        <v>68677.13</v>
      </c>
    </row>
    <row r="887" spans="1:4" s="21" customFormat="1" ht="25.5">
      <c r="A887" s="27" t="s">
        <v>77</v>
      </c>
      <c r="B887" s="37" t="s">
        <v>395</v>
      </c>
      <c r="C887" s="137" t="s">
        <v>210</v>
      </c>
      <c r="D887" s="3">
        <f t="shared" si="107"/>
        <v>68677.13</v>
      </c>
    </row>
    <row r="888" spans="1:4" s="21" customFormat="1" ht="25.5">
      <c r="A888" s="27" t="s">
        <v>211</v>
      </c>
      <c r="B888" s="37" t="s">
        <v>395</v>
      </c>
      <c r="C888" s="137" t="s">
        <v>212</v>
      </c>
      <c r="D888" s="3">
        <v>68677.13</v>
      </c>
    </row>
    <row r="889" spans="1:4" s="17" customFormat="1" ht="27">
      <c r="A889" s="13" t="s">
        <v>158</v>
      </c>
      <c r="B889" s="14" t="s">
        <v>159</v>
      </c>
      <c r="C889" s="80"/>
      <c r="D889" s="16">
        <f>D890</f>
        <v>26384250.66</v>
      </c>
    </row>
    <row r="890" spans="1:4" s="21" customFormat="1" ht="12.75">
      <c r="A890" s="27" t="s">
        <v>56</v>
      </c>
      <c r="B890" s="23" t="s">
        <v>230</v>
      </c>
      <c r="C890" s="49"/>
      <c r="D890" s="113">
        <f>D891+D896+D901</f>
        <v>26384250.66</v>
      </c>
    </row>
    <row r="891" spans="1:4" s="21" customFormat="1" ht="38.25">
      <c r="A891" s="27" t="s">
        <v>88</v>
      </c>
      <c r="B891" s="23" t="s">
        <v>230</v>
      </c>
      <c r="C891" s="49" t="s">
        <v>105</v>
      </c>
      <c r="D891" s="113">
        <f>D892</f>
        <v>15051381.799999999</v>
      </c>
    </row>
    <row r="892" spans="1:4" s="21" customFormat="1" ht="12.75">
      <c r="A892" s="65" t="s">
        <v>79</v>
      </c>
      <c r="B892" s="23" t="s">
        <v>230</v>
      </c>
      <c r="C892" s="49" t="s">
        <v>106</v>
      </c>
      <c r="D892" s="113">
        <f>D893+D894+D895</f>
        <v>15051381.799999999</v>
      </c>
    </row>
    <row r="893" spans="1:4" s="21" customFormat="1" ht="12.75">
      <c r="A893" s="65" t="s">
        <v>231</v>
      </c>
      <c r="B893" s="23" t="s">
        <v>230</v>
      </c>
      <c r="C893" s="49" t="s">
        <v>232</v>
      </c>
      <c r="D893" s="113">
        <v>11527250.1</v>
      </c>
    </row>
    <row r="894" spans="1:4" s="21" customFormat="1" ht="12.75">
      <c r="A894" s="27" t="s">
        <v>233</v>
      </c>
      <c r="B894" s="23" t="s">
        <v>230</v>
      </c>
      <c r="C894" s="166" t="s">
        <v>107</v>
      </c>
      <c r="D894" s="97">
        <v>57616.6</v>
      </c>
    </row>
    <row r="895" spans="1:4" s="21" customFormat="1" ht="25.5">
      <c r="A895" s="27" t="s">
        <v>234</v>
      </c>
      <c r="B895" s="23" t="s">
        <v>230</v>
      </c>
      <c r="C895" s="166" t="s">
        <v>235</v>
      </c>
      <c r="D895" s="97">
        <v>3466515.1</v>
      </c>
    </row>
    <row r="896" spans="1:4" s="21" customFormat="1" ht="25.5">
      <c r="A896" s="27" t="s">
        <v>86</v>
      </c>
      <c r="B896" s="23" t="s">
        <v>230</v>
      </c>
      <c r="C896" s="166" t="s">
        <v>111</v>
      </c>
      <c r="D896" s="97">
        <f>D897</f>
        <v>11292385.120000001</v>
      </c>
    </row>
    <row r="897" spans="1:4" s="21" customFormat="1" ht="25.5">
      <c r="A897" s="27" t="s">
        <v>236</v>
      </c>
      <c r="B897" s="23" t="s">
        <v>230</v>
      </c>
      <c r="C897" s="166" t="s">
        <v>112</v>
      </c>
      <c r="D897" s="97">
        <f>D899+D900+D898</f>
        <v>11292385.120000001</v>
      </c>
    </row>
    <row r="898" spans="1:4" s="21" customFormat="1" ht="25.5">
      <c r="A898" s="27" t="s">
        <v>515</v>
      </c>
      <c r="B898" s="23" t="s">
        <v>230</v>
      </c>
      <c r="C898" s="166">
        <v>243</v>
      </c>
      <c r="D898" s="97">
        <v>349000</v>
      </c>
    </row>
    <row r="899" spans="1:4" s="21" customFormat="1" ht="12.75">
      <c r="A899" s="27" t="s">
        <v>102</v>
      </c>
      <c r="B899" s="23" t="s">
        <v>230</v>
      </c>
      <c r="C899" s="166" t="s">
        <v>70</v>
      </c>
      <c r="D899" s="97">
        <v>5787909.3399999999</v>
      </c>
    </row>
    <row r="900" spans="1:4" s="21" customFormat="1" ht="12.75">
      <c r="A900" s="27" t="s">
        <v>98</v>
      </c>
      <c r="B900" s="23" t="s">
        <v>230</v>
      </c>
      <c r="C900" s="166" t="s">
        <v>237</v>
      </c>
      <c r="D900" s="97">
        <v>5155475.78</v>
      </c>
    </row>
    <row r="901" spans="1:4" s="21" customFormat="1" ht="12.75">
      <c r="A901" s="84" t="s">
        <v>181</v>
      </c>
      <c r="B901" s="23" t="s">
        <v>230</v>
      </c>
      <c r="C901" s="166" t="s">
        <v>203</v>
      </c>
      <c r="D901" s="97">
        <f>D902</f>
        <v>40483.74</v>
      </c>
    </row>
    <row r="902" spans="1:4" s="21" customFormat="1" ht="12.75">
      <c r="A902" s="40" t="s">
        <v>171</v>
      </c>
      <c r="B902" s="23" t="s">
        <v>230</v>
      </c>
      <c r="C902" s="166" t="s">
        <v>238</v>
      </c>
      <c r="D902" s="97">
        <v>40483.74</v>
      </c>
    </row>
    <row r="903" spans="1:4" s="17" customFormat="1" ht="27">
      <c r="A903" s="13" t="s">
        <v>160</v>
      </c>
      <c r="B903" s="14" t="s">
        <v>161</v>
      </c>
      <c r="C903" s="80"/>
      <c r="D903" s="16">
        <f>D905+D907+D910</f>
        <v>706912</v>
      </c>
    </row>
    <row r="904" spans="1:4" s="17" customFormat="1" ht="25.5">
      <c r="A904" s="27" t="s">
        <v>311</v>
      </c>
      <c r="B904" s="23" t="s">
        <v>312</v>
      </c>
      <c r="C904" s="49"/>
      <c r="D904" s="113">
        <f t="shared" ref="D904:D905" si="108">D905</f>
        <v>75000</v>
      </c>
    </row>
    <row r="905" spans="1:4" s="17" customFormat="1" ht="12.75">
      <c r="A905" s="84" t="s">
        <v>181</v>
      </c>
      <c r="B905" s="23" t="s">
        <v>312</v>
      </c>
      <c r="C905" s="166" t="s">
        <v>203</v>
      </c>
      <c r="D905" s="97">
        <f t="shared" si="108"/>
        <v>75000</v>
      </c>
    </row>
    <row r="906" spans="1:4" s="17" customFormat="1" ht="12.75">
      <c r="A906" s="40" t="s">
        <v>171</v>
      </c>
      <c r="B906" s="23" t="s">
        <v>312</v>
      </c>
      <c r="C906" s="166" t="s">
        <v>238</v>
      </c>
      <c r="D906" s="97">
        <v>75000</v>
      </c>
    </row>
    <row r="907" spans="1:4" s="17" customFormat="1" ht="102">
      <c r="A907" s="36" t="s">
        <v>396</v>
      </c>
      <c r="B907" s="19" t="s">
        <v>320</v>
      </c>
      <c r="C907" s="166"/>
      <c r="D907" s="97">
        <f t="shared" ref="D907:D908" si="109">D908</f>
        <v>50000</v>
      </c>
    </row>
    <row r="908" spans="1:4" s="17" customFormat="1" ht="12.75">
      <c r="A908" s="36" t="s">
        <v>90</v>
      </c>
      <c r="B908" s="19" t="s">
        <v>320</v>
      </c>
      <c r="C908" s="166" t="s">
        <v>209</v>
      </c>
      <c r="D908" s="97">
        <f t="shared" si="109"/>
        <v>50000</v>
      </c>
    </row>
    <row r="909" spans="1:4" s="17" customFormat="1" ht="12.75">
      <c r="A909" s="40" t="s">
        <v>319</v>
      </c>
      <c r="B909" s="19" t="s">
        <v>320</v>
      </c>
      <c r="C909" s="166" t="s">
        <v>321</v>
      </c>
      <c r="D909" s="97">
        <v>50000</v>
      </c>
    </row>
    <row r="910" spans="1:4" s="17" customFormat="1" ht="25.5">
      <c r="A910" s="27" t="s">
        <v>397</v>
      </c>
      <c r="B910" s="23" t="s">
        <v>399</v>
      </c>
      <c r="C910" s="166"/>
      <c r="D910" s="97">
        <f t="shared" ref="D910:D911" si="110">D911</f>
        <v>581912</v>
      </c>
    </row>
    <row r="911" spans="1:4" s="17" customFormat="1" ht="12.75">
      <c r="A911" s="27" t="s">
        <v>181</v>
      </c>
      <c r="B911" s="23" t="s">
        <v>399</v>
      </c>
      <c r="C911" s="137">
        <v>800</v>
      </c>
      <c r="D911" s="97">
        <f t="shared" si="110"/>
        <v>581912</v>
      </c>
    </row>
    <row r="912" spans="1:4" s="17" customFormat="1" ht="12.75">
      <c r="A912" s="27" t="s">
        <v>398</v>
      </c>
      <c r="B912" s="23" t="s">
        <v>399</v>
      </c>
      <c r="C912" s="137">
        <v>880</v>
      </c>
      <c r="D912" s="97">
        <v>581912</v>
      </c>
    </row>
    <row r="913" spans="1:4" s="17" customFormat="1" ht="27">
      <c r="A913" s="13" t="s">
        <v>313</v>
      </c>
      <c r="B913" s="14" t="s">
        <v>229</v>
      </c>
      <c r="C913" s="80"/>
      <c r="D913" s="16">
        <f>D914</f>
        <v>5595167.9399999995</v>
      </c>
    </row>
    <row r="914" spans="1:4" s="21" customFormat="1" ht="25.5">
      <c r="A914" s="40" t="s">
        <v>314</v>
      </c>
      <c r="B914" s="37" t="s">
        <v>315</v>
      </c>
      <c r="C914" s="49"/>
      <c r="D914" s="97">
        <f>D915</f>
        <v>5595167.9399999995</v>
      </c>
    </row>
    <row r="915" spans="1:4" s="21" customFormat="1" ht="12.75">
      <c r="A915" s="27" t="s">
        <v>65</v>
      </c>
      <c r="B915" s="37" t="s">
        <v>316</v>
      </c>
      <c r="C915" s="87"/>
      <c r="D915" s="3">
        <f>D916</f>
        <v>5595167.9399999995</v>
      </c>
    </row>
    <row r="916" spans="1:4" s="21" customFormat="1" ht="38.25">
      <c r="A916" s="27" t="s">
        <v>88</v>
      </c>
      <c r="B916" s="37" t="s">
        <v>316</v>
      </c>
      <c r="C916" s="87" t="s">
        <v>105</v>
      </c>
      <c r="D916" s="3">
        <f>D917</f>
        <v>5595167.9399999995</v>
      </c>
    </row>
    <row r="917" spans="1:4" s="21" customFormat="1" ht="12.75">
      <c r="A917" s="65" t="s">
        <v>79</v>
      </c>
      <c r="B917" s="37" t="s">
        <v>316</v>
      </c>
      <c r="C917" s="87" t="s">
        <v>106</v>
      </c>
      <c r="D917" s="3">
        <f>D918+D919+D920</f>
        <v>5595167.9399999995</v>
      </c>
    </row>
    <row r="918" spans="1:4" s="21" customFormat="1" ht="12.75">
      <c r="A918" s="40" t="s">
        <v>231</v>
      </c>
      <c r="B918" s="37" t="s">
        <v>316</v>
      </c>
      <c r="C918" s="49" t="s">
        <v>232</v>
      </c>
      <c r="D918" s="3">
        <v>4259707</v>
      </c>
    </row>
    <row r="919" spans="1:4" s="21" customFormat="1" ht="12.75">
      <c r="A919" s="40" t="s">
        <v>233</v>
      </c>
      <c r="B919" s="37" t="s">
        <v>316</v>
      </c>
      <c r="C919" s="49" t="s">
        <v>107</v>
      </c>
      <c r="D919" s="3">
        <v>62379.5</v>
      </c>
    </row>
    <row r="920" spans="1:4" s="21" customFormat="1" ht="25.5">
      <c r="A920" s="27" t="s">
        <v>234</v>
      </c>
      <c r="B920" s="37" t="s">
        <v>316</v>
      </c>
      <c r="C920" s="137" t="s">
        <v>235</v>
      </c>
      <c r="D920" s="3">
        <v>1273081.44</v>
      </c>
    </row>
    <row r="921" spans="1:4" s="21" customFormat="1" ht="27">
      <c r="A921" s="138" t="s">
        <v>431</v>
      </c>
      <c r="B921" s="69" t="s">
        <v>433</v>
      </c>
      <c r="C921" s="167"/>
      <c r="D921" s="12">
        <f>D930+D940+D922</f>
        <v>12902234.920000002</v>
      </c>
    </row>
    <row r="922" spans="1:4" s="21" customFormat="1" ht="25.5">
      <c r="A922" s="40" t="s">
        <v>529</v>
      </c>
      <c r="B922" s="37" t="s">
        <v>530</v>
      </c>
      <c r="C922" s="49"/>
      <c r="D922" s="97">
        <f>D927+D923</f>
        <v>11680747.530000001</v>
      </c>
    </row>
    <row r="923" spans="1:4" s="21" customFormat="1" ht="25.5">
      <c r="A923" s="40" t="s">
        <v>86</v>
      </c>
      <c r="B923" s="37" t="s">
        <v>530</v>
      </c>
      <c r="C923" s="49">
        <v>200</v>
      </c>
      <c r="D923" s="97">
        <f>D924</f>
        <v>10565907.630000001</v>
      </c>
    </row>
    <row r="924" spans="1:4" s="21" customFormat="1" ht="25.5">
      <c r="A924" s="40" t="s">
        <v>67</v>
      </c>
      <c r="B924" s="37" t="s">
        <v>530</v>
      </c>
      <c r="C924" s="49">
        <v>240</v>
      </c>
      <c r="D924" s="97">
        <f>D926+D925</f>
        <v>10565907.630000001</v>
      </c>
    </row>
    <row r="925" spans="1:4" s="21" customFormat="1" ht="25.5">
      <c r="A925" s="25" t="s">
        <v>382</v>
      </c>
      <c r="B925" s="37" t="s">
        <v>530</v>
      </c>
      <c r="C925" s="49">
        <v>243</v>
      </c>
      <c r="D925" s="97">
        <f>2700000-0.9</f>
        <v>2699999.1</v>
      </c>
    </row>
    <row r="926" spans="1:4" s="21" customFormat="1" ht="12.75">
      <c r="A926" s="40" t="s">
        <v>102</v>
      </c>
      <c r="B926" s="37" t="s">
        <v>530</v>
      </c>
      <c r="C926" s="49">
        <v>244</v>
      </c>
      <c r="D926" s="97">
        <v>7865908.5300000003</v>
      </c>
    </row>
    <row r="927" spans="1:4" s="21" customFormat="1" ht="25.5">
      <c r="A927" s="40" t="s">
        <v>87</v>
      </c>
      <c r="B927" s="37" t="s">
        <v>530</v>
      </c>
      <c r="C927" s="49">
        <v>600</v>
      </c>
      <c r="D927" s="97">
        <f>D928</f>
        <v>1114839.8999999999</v>
      </c>
    </row>
    <row r="928" spans="1:4" s="21" customFormat="1" ht="12.75">
      <c r="A928" s="40" t="s">
        <v>54</v>
      </c>
      <c r="B928" s="37" t="s">
        <v>530</v>
      </c>
      <c r="C928" s="49">
        <v>610</v>
      </c>
      <c r="D928" s="97">
        <f>D929</f>
        <v>1114839.8999999999</v>
      </c>
    </row>
    <row r="929" spans="1:4" s="21" customFormat="1" ht="12.75">
      <c r="A929" s="40" t="s">
        <v>2</v>
      </c>
      <c r="B929" s="37" t="s">
        <v>530</v>
      </c>
      <c r="C929" s="49">
        <v>612</v>
      </c>
      <c r="D929" s="97">
        <v>1114839.8999999999</v>
      </c>
    </row>
    <row r="930" spans="1:4" s="21" customFormat="1" ht="25.5">
      <c r="A930" s="168" t="s">
        <v>432</v>
      </c>
      <c r="B930" s="37" t="s">
        <v>434</v>
      </c>
      <c r="C930" s="49"/>
      <c r="D930" s="97">
        <f>D938+D935+D931</f>
        <v>648930.97</v>
      </c>
    </row>
    <row r="931" spans="1:4" s="21" customFormat="1" ht="25.5">
      <c r="A931" s="168" t="s">
        <v>86</v>
      </c>
      <c r="B931" s="37" t="s">
        <v>434</v>
      </c>
      <c r="C931" s="49" t="s">
        <v>111</v>
      </c>
      <c r="D931" s="97">
        <f>D932</f>
        <v>586995.41999999993</v>
      </c>
    </row>
    <row r="932" spans="1:4" s="21" customFormat="1" ht="25.5">
      <c r="A932" s="168" t="s">
        <v>67</v>
      </c>
      <c r="B932" s="37" t="s">
        <v>434</v>
      </c>
      <c r="C932" s="49" t="s">
        <v>112</v>
      </c>
      <c r="D932" s="97">
        <f>D934+D933</f>
        <v>586995.41999999993</v>
      </c>
    </row>
    <row r="933" spans="1:4" s="21" customFormat="1" ht="25.5">
      <c r="A933" s="148" t="s">
        <v>382</v>
      </c>
      <c r="B933" s="37" t="s">
        <v>434</v>
      </c>
      <c r="C933" s="49">
        <v>243</v>
      </c>
      <c r="D933" s="97">
        <f>2850000-2700000-0.05</f>
        <v>149999.95000000001</v>
      </c>
    </row>
    <row r="934" spans="1:4" s="21" customFormat="1" ht="12.75">
      <c r="A934" s="168" t="s">
        <v>102</v>
      </c>
      <c r="B934" s="37" t="s">
        <v>434</v>
      </c>
      <c r="C934" s="49" t="s">
        <v>70</v>
      </c>
      <c r="D934" s="97">
        <v>436995.47</v>
      </c>
    </row>
    <row r="935" spans="1:4" s="21" customFormat="1" ht="25.5">
      <c r="A935" s="168" t="s">
        <v>87</v>
      </c>
      <c r="B935" s="37" t="s">
        <v>434</v>
      </c>
      <c r="C935" s="49" t="s">
        <v>257</v>
      </c>
      <c r="D935" s="97">
        <f>D936</f>
        <v>61935.550000000047</v>
      </c>
    </row>
    <row r="936" spans="1:4" s="21" customFormat="1" ht="12.75">
      <c r="A936" s="168" t="s">
        <v>54</v>
      </c>
      <c r="B936" s="37" t="s">
        <v>434</v>
      </c>
      <c r="C936" s="49" t="s">
        <v>361</v>
      </c>
      <c r="D936" s="97">
        <f>D937</f>
        <v>61935.550000000047</v>
      </c>
    </row>
    <row r="937" spans="1:4" s="21" customFormat="1" ht="12.75">
      <c r="A937" s="168" t="s">
        <v>2</v>
      </c>
      <c r="B937" s="37" t="s">
        <v>434</v>
      </c>
      <c r="C937" s="49" t="s">
        <v>362</v>
      </c>
      <c r="D937" s="24">
        <f>1176775.45-1114839.9</f>
        <v>61935.550000000047</v>
      </c>
    </row>
    <row r="938" spans="1:4" s="5" customFormat="1" ht="12.75">
      <c r="A938" s="40" t="s">
        <v>89</v>
      </c>
      <c r="B938" s="37" t="s">
        <v>434</v>
      </c>
      <c r="C938" s="49">
        <v>800</v>
      </c>
      <c r="D938" s="97">
        <f>D939</f>
        <v>0</v>
      </c>
    </row>
    <row r="939" spans="1:4" s="5" customFormat="1" ht="12.75">
      <c r="A939" s="40" t="s">
        <v>184</v>
      </c>
      <c r="B939" s="37" t="s">
        <v>434</v>
      </c>
      <c r="C939" s="49" t="s">
        <v>185</v>
      </c>
      <c r="D939" s="97">
        <v>0</v>
      </c>
    </row>
    <row r="940" spans="1:4" s="5" customFormat="1" ht="25.5">
      <c r="A940" s="27" t="s">
        <v>439</v>
      </c>
      <c r="B940" s="19" t="s">
        <v>440</v>
      </c>
      <c r="C940" s="166"/>
      <c r="D940" s="97">
        <f>D948+D945+D941</f>
        <v>572556.42000000004</v>
      </c>
    </row>
    <row r="941" spans="1:4" s="5" customFormat="1" ht="25.5">
      <c r="A941" s="27" t="s">
        <v>86</v>
      </c>
      <c r="B941" s="19" t="s">
        <v>440</v>
      </c>
      <c r="C941" s="166" t="s">
        <v>111</v>
      </c>
      <c r="D941" s="97">
        <f>D942</f>
        <v>510620.87</v>
      </c>
    </row>
    <row r="942" spans="1:4" s="5" customFormat="1" ht="25.5">
      <c r="A942" s="27" t="s">
        <v>67</v>
      </c>
      <c r="B942" s="19" t="s">
        <v>440</v>
      </c>
      <c r="C942" s="166" t="s">
        <v>112</v>
      </c>
      <c r="D942" s="97">
        <f>D944+D943</f>
        <v>510620.87</v>
      </c>
    </row>
    <row r="943" spans="1:4" s="5" customFormat="1" ht="25.5">
      <c r="A943" s="65" t="s">
        <v>382</v>
      </c>
      <c r="B943" s="19" t="s">
        <v>440</v>
      </c>
      <c r="C943" s="166">
        <v>243</v>
      </c>
      <c r="D943" s="97">
        <f>150000-0.05</f>
        <v>149999.95000000001</v>
      </c>
    </row>
    <row r="944" spans="1:4" s="5" customFormat="1" ht="12.75">
      <c r="A944" s="27" t="s">
        <v>102</v>
      </c>
      <c r="B944" s="19" t="s">
        <v>440</v>
      </c>
      <c r="C944" s="166" t="s">
        <v>70</v>
      </c>
      <c r="D944" s="97">
        <v>360620.92</v>
      </c>
    </row>
    <row r="945" spans="1:8" s="5" customFormat="1" ht="25.5">
      <c r="A945" s="27" t="s">
        <v>87</v>
      </c>
      <c r="B945" s="19" t="s">
        <v>440</v>
      </c>
      <c r="C945" s="166" t="s">
        <v>257</v>
      </c>
      <c r="D945" s="97">
        <f>D946</f>
        <v>61935.550000000047</v>
      </c>
    </row>
    <row r="946" spans="1:8" s="5" customFormat="1" ht="12.75">
      <c r="A946" s="27" t="s">
        <v>54</v>
      </c>
      <c r="B946" s="19" t="s">
        <v>440</v>
      </c>
      <c r="C946" s="166" t="s">
        <v>361</v>
      </c>
      <c r="D946" s="97">
        <f>D947</f>
        <v>61935.550000000047</v>
      </c>
    </row>
    <row r="947" spans="1:8" s="5" customFormat="1" ht="12.75">
      <c r="A947" s="27" t="s">
        <v>2</v>
      </c>
      <c r="B947" s="19" t="s">
        <v>440</v>
      </c>
      <c r="C947" s="166" t="s">
        <v>362</v>
      </c>
      <c r="D947" s="97">
        <f>1176775.45-1114839.9</f>
        <v>61935.550000000047</v>
      </c>
    </row>
    <row r="948" spans="1:8" s="5" customFormat="1" ht="12.75">
      <c r="A948" s="27" t="s">
        <v>89</v>
      </c>
      <c r="B948" s="19" t="s">
        <v>440</v>
      </c>
      <c r="C948" s="166">
        <v>800</v>
      </c>
      <c r="D948" s="97">
        <f>D949</f>
        <v>0</v>
      </c>
    </row>
    <row r="949" spans="1:8" s="5" customFormat="1" ht="12.75">
      <c r="A949" s="40" t="s">
        <v>184</v>
      </c>
      <c r="B949" s="19" t="s">
        <v>440</v>
      </c>
      <c r="C949" s="166" t="s">
        <v>185</v>
      </c>
      <c r="D949" s="97">
        <v>0</v>
      </c>
    </row>
    <row r="950" spans="1:8" s="32" customFormat="1" ht="13.5">
      <c r="A950" s="138" t="s">
        <v>503</v>
      </c>
      <c r="B950" s="169" t="s">
        <v>502</v>
      </c>
      <c r="C950" s="167"/>
      <c r="D950" s="97">
        <f t="shared" ref="D950:D952" si="111">D951</f>
        <v>495550</v>
      </c>
    </row>
    <row r="951" spans="1:8" s="5" customFormat="1" ht="25.5">
      <c r="A951" s="40" t="s">
        <v>504</v>
      </c>
      <c r="B951" s="23" t="s">
        <v>505</v>
      </c>
      <c r="C951" s="49"/>
      <c r="D951" s="97">
        <f t="shared" si="111"/>
        <v>495550</v>
      </c>
    </row>
    <row r="952" spans="1:8" s="5" customFormat="1" ht="25.5">
      <c r="A952" s="40" t="s">
        <v>86</v>
      </c>
      <c r="B952" s="23" t="s">
        <v>505</v>
      </c>
      <c r="C952" s="49" t="s">
        <v>111</v>
      </c>
      <c r="D952" s="97">
        <f t="shared" si="111"/>
        <v>495550</v>
      </c>
    </row>
    <row r="953" spans="1:8" s="5" customFormat="1" ht="25.5">
      <c r="A953" s="40" t="s">
        <v>67</v>
      </c>
      <c r="B953" s="23" t="s">
        <v>505</v>
      </c>
      <c r="C953" s="49" t="s">
        <v>112</v>
      </c>
      <c r="D953" s="97">
        <f>D954</f>
        <v>495550</v>
      </c>
    </row>
    <row r="954" spans="1:8" s="5" customFormat="1" ht="12.75">
      <c r="A954" s="40" t="s">
        <v>24</v>
      </c>
      <c r="B954" s="23" t="s">
        <v>505</v>
      </c>
      <c r="C954" s="49" t="s">
        <v>70</v>
      </c>
      <c r="D954" s="97">
        <v>495550</v>
      </c>
    </row>
    <row r="955" spans="1:8" s="21" customFormat="1" ht="12.75">
      <c r="A955" s="40"/>
      <c r="B955" s="37"/>
      <c r="C955" s="23"/>
      <c r="D955" s="97"/>
    </row>
    <row r="956" spans="1:8" s="5" customFormat="1" ht="12.75">
      <c r="A956" s="170" t="s">
        <v>317</v>
      </c>
      <c r="B956" s="171"/>
      <c r="C956" s="171"/>
      <c r="D956" s="172"/>
    </row>
    <row r="957" spans="1:8" s="5" customFormat="1" ht="12.75">
      <c r="B957" s="9"/>
      <c r="C957" s="9"/>
      <c r="D957" s="10"/>
    </row>
    <row r="958" spans="1:8" s="5" customFormat="1" ht="12.75">
      <c r="A958" s="150" t="s">
        <v>137</v>
      </c>
      <c r="B958" s="69"/>
      <c r="C958" s="69"/>
      <c r="D958" s="12">
        <f>D14+D637+D956</f>
        <v>2136731243.0899997</v>
      </c>
    </row>
    <row r="959" spans="1:8" s="2" customFormat="1" ht="12.75">
      <c r="A959" s="5"/>
      <c r="B959" s="9"/>
      <c r="C959" s="9"/>
      <c r="D959" s="10"/>
      <c r="E959" s="5"/>
      <c r="F959" s="5"/>
      <c r="G959" s="5"/>
      <c r="H959" s="5"/>
    </row>
    <row r="961" spans="1:8" s="2" customFormat="1" ht="12.75">
      <c r="A961" s="5"/>
      <c r="B961" s="9"/>
      <c r="C961" s="9"/>
      <c r="D961" s="10"/>
      <c r="E961" s="5"/>
      <c r="F961" s="5"/>
      <c r="G961" s="5"/>
      <c r="H961" s="5"/>
    </row>
    <row r="962" spans="1:8" s="2" customFormat="1" ht="12.75">
      <c r="A962" s="5"/>
      <c r="B962" s="9"/>
      <c r="C962" s="9"/>
      <c r="D962" s="10"/>
      <c r="E962" s="5"/>
      <c r="F962" s="5"/>
      <c r="G962" s="5"/>
      <c r="H962" s="5"/>
    </row>
    <row r="964" spans="1:8" s="2" customFormat="1" ht="12.75">
      <c r="A964" s="5"/>
      <c r="B964" s="9"/>
      <c r="C964" s="9"/>
      <c r="D964" s="10"/>
      <c r="E964" s="5"/>
      <c r="F964" s="5"/>
      <c r="G964" s="5"/>
      <c r="H964" s="5"/>
    </row>
    <row r="965" spans="1:8" s="2" customFormat="1" ht="12.75">
      <c r="A965" s="5"/>
      <c r="B965" s="9"/>
      <c r="C965" s="9"/>
      <c r="D965" s="10"/>
      <c r="E965" s="5"/>
      <c r="F965" s="5"/>
      <c r="G965" s="5"/>
      <c r="H965" s="5"/>
    </row>
    <row r="966" spans="1:8" s="2" customFormat="1" ht="12.75">
      <c r="A966" s="5"/>
      <c r="B966" s="9"/>
      <c r="C966" s="9"/>
      <c r="D966" s="10"/>
      <c r="E966" s="5"/>
      <c r="F966" s="5"/>
      <c r="G966" s="5"/>
      <c r="H966" s="5"/>
    </row>
  </sheetData>
  <customSheetViews>
    <customSheetView guid="{9A752CC5-36AC-48BE-BF4B-1A38C4015906}" scale="90" showPageBreaks="1" fitToPage="1" printArea="1" view="pageBreakPreview">
      <selection activeCell="G15" sqref="G15"/>
      <pageMargins left="0.78740157480314965" right="0.78740157480314965" top="0.78740157480314965" bottom="0.78740157480314965" header="0.11811023622047245" footer="0.11811023622047245"/>
      <pageSetup paperSize="9" scale="76" fitToHeight="0" orientation="portrait" r:id="rId1"/>
      <headerFooter alignWithMargins="0"/>
    </customSheetView>
    <customSheetView guid="{30E81E54-DD45-4653-9DCD-548F6723F554}" scale="80" showPageBreaks="1" fitToPage="1" printArea="1" hiddenRows="1" view="pageBreakPreview">
      <selection activeCell="D506" sqref="D506"/>
      <pageMargins left="0.98425196850393704" right="0.78740157480314965" top="0.78740157480314965" bottom="0.78740157480314965" header="0.11811023622047245" footer="0.11811023622047245"/>
      <pageSetup paperSize="9" scale="86" fitToHeight="0" orientation="portrait" r:id="rId2"/>
      <headerFooter alignWithMargins="0"/>
    </customSheetView>
    <customSheetView guid="{A9343E6B-D859-48A0-829D-4F2D36478972}" scale="80" showPageBreaks="1" fitToPage="1" printArea="1" view="pageBreakPreview">
      <selection activeCell="K19" sqref="K19:L19"/>
      <pageMargins left="0.98425196850393704" right="0.78740157480314965" top="0.78740157480314965" bottom="0.78740157480314965" header="0.11811023622047245" footer="0.11811023622047245"/>
      <pageSetup paperSize="9" scale="60" fitToHeight="0" orientation="portrait" r:id="rId3"/>
      <headerFooter alignWithMargins="0"/>
    </customSheetView>
    <customSheetView guid="{683BEDAB-5AF7-4F46-BC3A-F9D325B8EF01}" scale="80" showPageBreaks="1" fitToPage="1" view="pageBreakPreview">
      <selection activeCell="D19" sqref="D19"/>
      <pageMargins left="0.78740157480314965" right="0.78740157480314965" top="0.78740157480314965" bottom="0.78740157480314965" header="0.11811023622047245" footer="0.11811023622047245"/>
      <pageSetup paperSize="9" scale="62" fitToHeight="0" orientation="portrait" r:id="rId4"/>
      <headerFooter alignWithMargins="0"/>
    </customSheetView>
    <customSheetView guid="{547FB17C-1FA3-4D81-B22A-42218056849D}" scale="80" showPageBreaks="1" fitToPage="1" printArea="1" view="pageBreakPreview" topLeftCell="A55">
      <selection activeCell="F16" sqref="F16"/>
      <pageMargins left="0.78740157480314965" right="0.78740157480314965" top="0.78740157480314965" bottom="0.78740157480314965" header="0.11811023622047245" footer="0.11811023622047245"/>
      <pageSetup paperSize="9" scale="62" fitToHeight="0" orientation="portrait" r:id="rId5"/>
      <headerFooter alignWithMargins="0"/>
    </customSheetView>
    <customSheetView guid="{D9B90A86-BE39-4FED-8226-084809D277F3}" scale="80" showPageBreaks="1" fitToPage="1" printArea="1" view="pageBreakPreview">
      <selection activeCell="A15" sqref="A15"/>
      <pageMargins left="0.78740157480314965" right="0.78740157480314965" top="0.78740157480314965" bottom="0.78740157480314965" header="0.11811023622047245" footer="0.11811023622047245"/>
      <pageSetup paperSize="9" scale="71" fitToHeight="21" orientation="portrait" r:id="rId6"/>
      <headerFooter alignWithMargins="0"/>
    </customSheetView>
  </customSheetViews>
  <mergeCells count="7">
    <mergeCell ref="A8:D8"/>
    <mergeCell ref="A9:D9"/>
    <mergeCell ref="A11:D11"/>
    <mergeCell ref="A12:A13"/>
    <mergeCell ref="B12:B13"/>
    <mergeCell ref="C12:C13"/>
    <mergeCell ref="A10:D10"/>
  </mergeCells>
  <pageMargins left="0.78740157480314965" right="0.78740157480314965" top="0.78740157480314965" bottom="0.78740157480314965" header="0.11811023622047245" footer="0.11811023622047245"/>
  <pageSetup paperSize="9" scale="76" fitToHeight="0" orientation="portrait" r:id="rId7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программы </vt:lpstr>
      <vt:lpstr>'программы '!Область_печати</vt:lpstr>
    </vt:vector>
  </TitlesOfParts>
  <Company>Оргтехника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Молчанова Елена Валерьевна</dc:creator>
  <cp:lastModifiedBy>Молчанова Елена Валерьевна</cp:lastModifiedBy>
  <cp:lastPrinted>2025-03-27T07:23:58Z</cp:lastPrinted>
  <dcterms:created xsi:type="dcterms:W3CDTF">2008-10-30T16:06:49Z</dcterms:created>
  <dcterms:modified xsi:type="dcterms:W3CDTF">2025-06-19T06:36:27Z</dcterms:modified>
</cp:coreProperties>
</file>