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4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439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4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43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441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431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511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4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432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1921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44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412.xml" ContentType="application/vnd.openxmlformats-officedocument.spreadsheetml.revisionLog+xml"/>
  <Override PartName="/xl/revisions/revisionLog43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43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413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4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435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445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43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446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1451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1821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43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427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438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321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42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0" yWindow="330" windowWidth="14205" windowHeight="11760"/>
  </bookViews>
  <sheets>
    <sheet name="программы " sheetId="1" r:id="rId1"/>
  </sheets>
  <definedNames>
    <definedName name="_xlnm._FilterDatabase" localSheetId="0" hidden="1">'программы '!$C$1:$C$766</definedName>
    <definedName name="Z_30E81E54_DD45_4653_9DCD_548F6723F554_.wvu.FilterData" localSheetId="0" hidden="1">'программы '!$C$1:$C$766</definedName>
    <definedName name="Z_30E81E54_DD45_4653_9DCD_548F6723F554_.wvu.PrintArea" localSheetId="0" hidden="1">'программы '!$A$1:$F$758</definedName>
    <definedName name="Z_30E81E54_DD45_4653_9DCD_548F6723F554_.wvu.Rows" localSheetId="0" hidden="1">'программы '!$258:$262</definedName>
    <definedName name="Z_422E0643_716B_47E7_AE88_81F462B78F5E_.wvu.FilterData" localSheetId="0" hidden="1">'программы '!$A$16:$F$295</definedName>
    <definedName name="Z_547FB17C_1FA3_4D81_B22A_42218056849D_.wvu.FilterData" localSheetId="0" hidden="1">'программы '!$B$1:$B$766</definedName>
    <definedName name="Z_547FB17C_1FA3_4D81_B22A_42218056849D_.wvu.PrintArea" localSheetId="0" hidden="1">'программы '!$A$1:$F$758</definedName>
    <definedName name="Z_621F9F50_6600_48C4_A94F_B2301D0254CC_.wvu.FilterData" localSheetId="0" hidden="1">'программы '!$C$1:$C$766</definedName>
    <definedName name="Z_621F9F50_6600_48C4_A94F_B2301D0254CC_.wvu.PrintArea" localSheetId="0" hidden="1">'программы '!$A$1:$F$758</definedName>
    <definedName name="Z_683BEDAB_5AF7_4F46_BC3A_F9D325B8EF01_.wvu.FilterData" localSheetId="0" hidden="1">'программы '!$B$1:$B$766</definedName>
    <definedName name="Z_6F8BA463_0055_46DE_8D23_E8E86D83EC4B_.wvu.FilterData" localSheetId="0" hidden="1">'программы '!$B$1:$B$766</definedName>
    <definedName name="Z_7545950A_6E5E_45AB_942B_6C4201A60E54_.wvu.FilterData" localSheetId="0" hidden="1">'программы '!$C$1:$C$766</definedName>
    <definedName name="Z_7545950A_6E5E_45AB_942B_6C4201A60E54_.wvu.PrintArea" localSheetId="0" hidden="1">'программы '!$A$1:$F$758</definedName>
    <definedName name="Z_7545950A_6E5E_45AB_942B_6C4201A60E54_.wvu.Rows" localSheetId="0" hidden="1">'программы '!$258:$262</definedName>
    <definedName name="Z_7E5C1749_FF4E_4347_A58E_2DEF63C9D9CB_.wvu.FilterData" localSheetId="0" hidden="1">'программы '!$B$1:$B$766</definedName>
    <definedName name="Z_9A752CC5_36AC_48BE_BF4B_1A38C4015906_.wvu.FilterData" localSheetId="0" hidden="1">'программы '!$C$1:$C$766</definedName>
    <definedName name="Z_9A752CC5_36AC_48BE_BF4B_1A38C4015906_.wvu.PrintArea" localSheetId="0" hidden="1">'программы '!$A$1:$F$758</definedName>
    <definedName name="Z_9A752CC5_36AC_48BE_BF4B_1A38C4015906_.wvu.Rows" localSheetId="0" hidden="1">'программы '!$655:$658</definedName>
    <definedName name="Z_B6A6CD91_8C02_4179_BDF9_26B76D8F7736_.wvu.FilterData" localSheetId="0" hidden="1">'программы '!$A$16:$F$295</definedName>
    <definedName name="Z_C401343A_675B_4FC1_A6F5_67CE31618685_.wvu.FilterData" localSheetId="0" hidden="1">'программы '!$B$1:$B$766</definedName>
    <definedName name="Z_D9B90A86_BE39_4FED_8226_084809D277F3_.wvu.FilterData" localSheetId="0" hidden="1">'программы '!$C$1:$C$766</definedName>
    <definedName name="Z_D9B90A86_BE39_4FED_8226_084809D277F3_.wvu.PrintArea" localSheetId="0" hidden="1">'программы '!$A$1:$F$760</definedName>
    <definedName name="Z_D9B90A86_BE39_4FED_8226_084809D277F3_.wvu.Rows" localSheetId="0" hidden="1">'программы '!$757:$757</definedName>
    <definedName name="Z_F8703169_880A_4977_8713_9386DA2F09A9_.wvu.FilterData" localSheetId="0" hidden="1">'программы '!$B$1:$B$766</definedName>
    <definedName name="_xlnm.Print_Area" localSheetId="0">'программы '!$A$1:$F$758</definedName>
  </definedNames>
  <calcPr calcId="145621" iterate="1"/>
  <customWorkbookViews>
    <customWorkbookView name="Латышева Ольга Яковлевна - Личное представление" guid="{30E81E54-DD45-4653-9DCD-548F6723F554}" mergeInterval="0" personalView="1" maximized="1" windowWidth="1916" windowHeight="834" activeSheetId="1"/>
    <customWorkbookView name="Третьякова Елена Владимировна - Личное представление" guid="{D9B90A86-BE39-4FED-8226-084809D277F3}" mergeInterval="0" personalView="1" xWindow="16" yWindow="17" windowWidth="827" windowHeight="741" activeSheetId="1"/>
    <customWorkbookView name="Александра - Личное представление" guid="{7545950A-6E5E-45AB-942B-6C4201A60E54}" mergeInterval="0" personalView="1" maximized="1" windowWidth="1341" windowHeight="531" activeSheetId="1"/>
    <customWorkbookView name="feu09 - Личное представление" guid="{621F9F50-6600-48C4-A94F-B2301D0254CC}" mergeInterval="0" personalView="1" maximized="1" windowWidth="1916" windowHeight="855" activeSheetId="1"/>
    <customWorkbookView name="Гайнова Вероника Андреевна - Личное представление" guid="{547FB17C-1FA3-4D81-B22A-42218056849D}" mergeInterval="0" personalView="1" maximized="1" windowWidth="1916" windowHeight="854" activeSheetId="1"/>
    <customWorkbookView name="Шерепа Ольга Николаевна - Личное представление" guid="{683BEDAB-5AF7-4F46-BC3A-F9D325B8EF01}" mergeInterval="0" personalView="1" maximized="1" xWindow="1" yWindow="1" windowWidth="1916" windowHeight="800" activeSheetId="1"/>
    <customWorkbookView name="Молчанова Елена Валерьевна - Личное представление" guid="{9A752CC5-36AC-48BE-BF4B-1A38C4015906}" mergeInterval="0" personalView="1" maximized="1" xWindow="1" yWindow="1" windowWidth="1916" windowHeight="850" activeSheetId="1"/>
  </customWorkbookViews>
</workbook>
</file>

<file path=xl/calcChain.xml><?xml version="1.0" encoding="utf-8"?>
<calcChain xmlns="http://schemas.openxmlformats.org/spreadsheetml/2006/main">
  <c r="E756" i="1" l="1"/>
  <c r="D350" i="1"/>
  <c r="D237" i="1"/>
  <c r="D425" i="1"/>
  <c r="E425" i="1"/>
  <c r="D225" i="1" l="1"/>
  <c r="D252" i="1"/>
  <c r="D625" i="1"/>
  <c r="D626" i="1"/>
  <c r="D607" i="1"/>
  <c r="D639" i="1"/>
  <c r="D636" i="1" s="1"/>
  <c r="D635" i="1" s="1"/>
  <c r="D612" i="1"/>
  <c r="D592" i="1"/>
  <c r="D650" i="1"/>
  <c r="E572" i="1"/>
  <c r="E571" i="1" s="1"/>
  <c r="F572" i="1"/>
  <c r="F571" i="1" s="1"/>
  <c r="D572" i="1"/>
  <c r="D571" i="1" s="1"/>
  <c r="D567" i="1"/>
  <c r="D565" i="1"/>
  <c r="D495" i="1"/>
  <c r="D494" i="1"/>
  <c r="D332" i="1" l="1"/>
  <c r="D358" i="1"/>
  <c r="D739" i="1" l="1"/>
  <c r="D738" i="1" s="1"/>
  <c r="D737" i="1" s="1"/>
  <c r="D748" i="1"/>
  <c r="D746" i="1"/>
  <c r="D745" i="1" s="1"/>
  <c r="D744" i="1" s="1"/>
  <c r="D755" i="1"/>
  <c r="D754" i="1" s="1"/>
  <c r="D753" i="1" s="1"/>
  <c r="E754" i="1"/>
  <c r="E753" i="1" s="1"/>
  <c r="F754" i="1"/>
  <c r="F753" i="1" s="1"/>
  <c r="E745" i="1"/>
  <c r="E744" i="1" s="1"/>
  <c r="F745" i="1"/>
  <c r="F744" i="1" s="1"/>
  <c r="E738" i="1"/>
  <c r="E737" i="1" s="1"/>
  <c r="F738" i="1"/>
  <c r="F737" i="1" s="1"/>
  <c r="D742" i="1"/>
  <c r="D741" i="1" s="1"/>
  <c r="E742" i="1"/>
  <c r="E741" i="1" s="1"/>
  <c r="F742" i="1"/>
  <c r="F741" i="1" s="1"/>
  <c r="E751" i="1"/>
  <c r="E750" i="1" s="1"/>
  <c r="F751" i="1"/>
  <c r="F750" i="1" s="1"/>
  <c r="F749" i="1" s="1"/>
  <c r="D751" i="1"/>
  <c r="D750" i="1" s="1"/>
  <c r="E735" i="1"/>
  <c r="E734" i="1" s="1"/>
  <c r="F735" i="1"/>
  <c r="F734" i="1" s="1"/>
  <c r="D735" i="1"/>
  <c r="D734" i="1" s="1"/>
  <c r="F733" i="1" l="1"/>
  <c r="E733" i="1"/>
  <c r="E749" i="1"/>
  <c r="D733" i="1"/>
  <c r="D749" i="1"/>
  <c r="D271" i="1"/>
  <c r="D272" i="1"/>
  <c r="E628" i="1"/>
  <c r="E627" i="1" s="1"/>
  <c r="F628" i="1"/>
  <c r="F627" i="1" s="1"/>
  <c r="D628" i="1"/>
  <c r="D627" i="1" s="1"/>
  <c r="D654" i="1"/>
  <c r="D713" i="1"/>
  <c r="D570" i="1"/>
  <c r="D277" i="1"/>
  <c r="D716" i="1"/>
  <c r="F756" i="1" l="1"/>
  <c r="F336" i="1"/>
  <c r="D675" i="1"/>
  <c r="E636" i="1"/>
  <c r="F636" i="1"/>
  <c r="D483" i="1"/>
  <c r="D590" i="1"/>
  <c r="E231" i="1"/>
  <c r="F231" i="1"/>
  <c r="D231" i="1"/>
  <c r="D229" i="1"/>
  <c r="D150" i="1"/>
  <c r="D111" i="1" l="1"/>
  <c r="E589" i="1" l="1"/>
  <c r="E588" i="1" s="1"/>
  <c r="F589" i="1"/>
  <c r="F588" i="1" s="1"/>
  <c r="D589" i="1"/>
  <c r="D588" i="1" s="1"/>
  <c r="E585" i="1"/>
  <c r="F585" i="1"/>
  <c r="D585" i="1"/>
  <c r="E488" i="1" l="1"/>
  <c r="E487" i="1" s="1"/>
  <c r="E486" i="1" s="1"/>
  <c r="E485" i="1" s="1"/>
  <c r="E484" i="1" s="1"/>
  <c r="D488" i="1"/>
  <c r="D487" i="1" s="1"/>
  <c r="D486" i="1" s="1"/>
  <c r="D485" i="1" s="1"/>
  <c r="D484" i="1" s="1"/>
  <c r="D79" i="1"/>
  <c r="E303" i="1"/>
  <c r="E302" i="1" s="1"/>
  <c r="E301" i="1" s="1"/>
  <c r="F303" i="1"/>
  <c r="F302" i="1" s="1"/>
  <c r="F301" i="1" s="1"/>
  <c r="D303" i="1"/>
  <c r="D302" i="1" s="1"/>
  <c r="D301" i="1" s="1"/>
  <c r="D681" i="1"/>
  <c r="D387" i="1"/>
  <c r="D159" i="1"/>
  <c r="D53" i="1"/>
  <c r="E581" i="1"/>
  <c r="E580" i="1" s="1"/>
  <c r="E579" i="1" s="1"/>
  <c r="F581" i="1"/>
  <c r="F580" i="1" s="1"/>
  <c r="F579" i="1" s="1"/>
  <c r="D581" i="1"/>
  <c r="D580" i="1" s="1"/>
  <c r="D579" i="1" s="1"/>
  <c r="E747" i="1"/>
  <c r="E740" i="1" s="1"/>
  <c r="E732" i="1" s="1"/>
  <c r="F747" i="1"/>
  <c r="F740" i="1" s="1"/>
  <c r="F732" i="1" s="1"/>
  <c r="D747" i="1"/>
  <c r="E429" i="1"/>
  <c r="E428" i="1" s="1"/>
  <c r="E427" i="1" s="1"/>
  <c r="E426" i="1" s="1"/>
  <c r="F429" i="1"/>
  <c r="F428" i="1" s="1"/>
  <c r="F427" i="1" s="1"/>
  <c r="F426" i="1" s="1"/>
  <c r="D429" i="1"/>
  <c r="D428" i="1" s="1"/>
  <c r="D427" i="1" s="1"/>
  <c r="D426" i="1" s="1"/>
  <c r="E82" i="1"/>
  <c r="E81" i="1" s="1"/>
  <c r="E80" i="1" s="1"/>
  <c r="F82" i="1"/>
  <c r="F81" i="1" s="1"/>
  <c r="F80" i="1" s="1"/>
  <c r="D82" i="1"/>
  <c r="D81" i="1" s="1"/>
  <c r="D80" i="1" s="1"/>
  <c r="E60" i="1"/>
  <c r="E59" i="1" s="1"/>
  <c r="E58" i="1" s="1"/>
  <c r="F60" i="1"/>
  <c r="F59" i="1" s="1"/>
  <c r="F58" i="1" s="1"/>
  <c r="D60" i="1"/>
  <c r="D59" i="1" s="1"/>
  <c r="D58" i="1" s="1"/>
  <c r="D315" i="1"/>
  <c r="E599" i="1"/>
  <c r="F597" i="1"/>
  <c r="E597" i="1"/>
  <c r="D597" i="1"/>
  <c r="D235" i="1"/>
  <c r="E235" i="1"/>
  <c r="F235" i="1"/>
  <c r="E441" i="1"/>
  <c r="F441" i="1"/>
  <c r="D441" i="1"/>
  <c r="D119" i="1"/>
  <c r="F123" i="1"/>
  <c r="E123" i="1"/>
  <c r="D123" i="1"/>
  <c r="E199" i="1"/>
  <c r="E198" i="1" s="1"/>
  <c r="E197" i="1" s="1"/>
  <c r="F199" i="1"/>
  <c r="F198" i="1" s="1"/>
  <c r="F197" i="1" s="1"/>
  <c r="D199" i="1"/>
  <c r="D198" i="1" s="1"/>
  <c r="D197" i="1" s="1"/>
  <c r="F487" i="1"/>
  <c r="F486" i="1" s="1"/>
  <c r="F485" i="1" s="1"/>
  <c r="F484" i="1" s="1"/>
  <c r="E480" i="1"/>
  <c r="E324" i="1"/>
  <c r="E323" i="1" s="1"/>
  <c r="E322" i="1" s="1"/>
  <c r="F324" i="1"/>
  <c r="F323" i="1" s="1"/>
  <c r="F322" i="1" s="1"/>
  <c r="D324" i="1"/>
  <c r="D323" i="1" s="1"/>
  <c r="D322" i="1" s="1"/>
  <c r="D321" i="1"/>
  <c r="D740" i="1" l="1"/>
  <c r="D732" i="1" s="1"/>
  <c r="E194" i="1"/>
  <c r="F194" i="1"/>
  <c r="E644" i="1" l="1"/>
  <c r="F644" i="1"/>
  <c r="D644" i="1"/>
  <c r="D195" i="1"/>
  <c r="D194" i="1" s="1"/>
  <c r="E584" i="1" l="1"/>
  <c r="F584" i="1"/>
  <c r="D584" i="1"/>
  <c r="E95" i="1" l="1"/>
  <c r="E94" i="1" s="1"/>
  <c r="F95" i="1"/>
  <c r="F94" i="1" s="1"/>
  <c r="D95" i="1"/>
  <c r="D94" i="1" s="1"/>
  <c r="D99" i="1"/>
  <c r="E479" i="1"/>
  <c r="E478" i="1" s="1"/>
  <c r="F479" i="1"/>
  <c r="F478" i="1" s="1"/>
  <c r="D479" i="1"/>
  <c r="D478" i="1" s="1"/>
  <c r="E193" i="1"/>
  <c r="E192" i="1" s="1"/>
  <c r="F193" i="1"/>
  <c r="F192" i="1" s="1"/>
  <c r="D193" i="1"/>
  <c r="D192" i="1" s="1"/>
  <c r="D241" i="1" l="1"/>
  <c r="F592" i="1"/>
  <c r="E592" i="1"/>
  <c r="E132" i="1"/>
  <c r="E131" i="1" s="1"/>
  <c r="E130" i="1" s="1"/>
  <c r="F132" i="1"/>
  <c r="F131" i="1" s="1"/>
  <c r="F130" i="1" s="1"/>
  <c r="D132" i="1"/>
  <c r="D131" i="1" s="1"/>
  <c r="D130" i="1" s="1"/>
  <c r="E122" i="1"/>
  <c r="E121" i="1" s="1"/>
  <c r="E120" i="1" s="1"/>
  <c r="F122" i="1"/>
  <c r="F121" i="1" s="1"/>
  <c r="F120" i="1" s="1"/>
  <c r="D122" i="1"/>
  <c r="D121" i="1" s="1"/>
  <c r="D120" i="1" s="1"/>
  <c r="F137" i="1"/>
  <c r="E137" i="1"/>
  <c r="D137" i="1"/>
  <c r="F141" i="1" l="1"/>
  <c r="E141" i="1"/>
  <c r="D141" i="1"/>
  <c r="D57" i="1"/>
  <c r="D146" i="1"/>
  <c r="D75" i="1"/>
  <c r="D49" i="1"/>
  <c r="E203" i="1"/>
  <c r="E202" i="1" s="1"/>
  <c r="E201" i="1" s="1"/>
  <c r="F203" i="1"/>
  <c r="F202" i="1" s="1"/>
  <c r="F201" i="1" s="1"/>
  <c r="D203" i="1"/>
  <c r="D202" i="1" s="1"/>
  <c r="D201" i="1" s="1"/>
  <c r="E127" i="1"/>
  <c r="E126" i="1" s="1"/>
  <c r="E125" i="1" s="1"/>
  <c r="E124" i="1" s="1"/>
  <c r="F127" i="1"/>
  <c r="F126" i="1" s="1"/>
  <c r="F125" i="1" s="1"/>
  <c r="F124" i="1" s="1"/>
  <c r="D127" i="1"/>
  <c r="D126" i="1" s="1"/>
  <c r="D125" i="1" s="1"/>
  <c r="D124" i="1" s="1"/>
  <c r="E669" i="1" l="1"/>
  <c r="E668" i="1" s="1"/>
  <c r="E667" i="1" s="1"/>
  <c r="F669" i="1"/>
  <c r="F668" i="1" s="1"/>
  <c r="F667" i="1" s="1"/>
  <c r="D669" i="1"/>
  <c r="D668" i="1" s="1"/>
  <c r="D667" i="1" s="1"/>
  <c r="F681" i="1"/>
  <c r="E681" i="1"/>
  <c r="E336" i="1"/>
  <c r="D336" i="1"/>
  <c r="E216" i="1"/>
  <c r="E215" i="1" s="1"/>
  <c r="E214" i="1" s="1"/>
  <c r="F216" i="1"/>
  <c r="F215" i="1" s="1"/>
  <c r="F214" i="1" s="1"/>
  <c r="D216" i="1"/>
  <c r="D215" i="1" s="1"/>
  <c r="D214" i="1" s="1"/>
  <c r="E35" i="1"/>
  <c r="E34" i="1" s="1"/>
  <c r="E33" i="1" s="1"/>
  <c r="F35" i="1"/>
  <c r="F34" i="1" s="1"/>
  <c r="F33" i="1" s="1"/>
  <c r="D35" i="1"/>
  <c r="D34" i="1" s="1"/>
  <c r="D33" i="1" s="1"/>
  <c r="E39" i="1"/>
  <c r="E38" i="1" s="1"/>
  <c r="E37" i="1" s="1"/>
  <c r="F39" i="1"/>
  <c r="F38" i="1" s="1"/>
  <c r="F37" i="1" s="1"/>
  <c r="D39" i="1"/>
  <c r="D38" i="1" s="1"/>
  <c r="D37" i="1" s="1"/>
  <c r="E42" i="1"/>
  <c r="E41" i="1" s="1"/>
  <c r="F42" i="1"/>
  <c r="F41" i="1" s="1"/>
  <c r="D42" i="1"/>
  <c r="D41" i="1" s="1"/>
  <c r="F252" i="1" l="1"/>
  <c r="E252" i="1"/>
  <c r="F87" i="1"/>
  <c r="E87" i="1"/>
  <c r="F657" i="1" l="1"/>
  <c r="F656" i="1" s="1"/>
  <c r="F655" i="1" s="1"/>
  <c r="E657" i="1"/>
  <c r="E656" i="1" s="1"/>
  <c r="E655" i="1" s="1"/>
  <c r="D657" i="1"/>
  <c r="D656" i="1" s="1"/>
  <c r="D655" i="1" s="1"/>
  <c r="E650" i="1"/>
  <c r="F650" i="1"/>
  <c r="E640" i="1"/>
  <c r="F640" i="1"/>
  <c r="D640" i="1"/>
  <c r="D634" i="1" s="1"/>
  <c r="E635" i="1"/>
  <c r="F635" i="1"/>
  <c r="D575" i="1"/>
  <c r="E575" i="1"/>
  <c r="F575" i="1"/>
  <c r="F531" i="1"/>
  <c r="E531" i="1"/>
  <c r="D531" i="1"/>
  <c r="F482" i="1"/>
  <c r="F481" i="1" s="1"/>
  <c r="E482" i="1"/>
  <c r="E481" i="1" s="1"/>
  <c r="D482" i="1"/>
  <c r="D481" i="1" s="1"/>
  <c r="F284" i="1"/>
  <c r="F283" i="1" s="1"/>
  <c r="F282" i="1" s="1"/>
  <c r="E284" i="1"/>
  <c r="E283" i="1" s="1"/>
  <c r="E282" i="1" s="1"/>
  <c r="D284" i="1"/>
  <c r="D283" i="1" s="1"/>
  <c r="D282" i="1" s="1"/>
  <c r="E271" i="1"/>
  <c r="F271" i="1"/>
  <c r="E258" i="1"/>
  <c r="F258" i="1"/>
  <c r="D258" i="1"/>
  <c r="E211" i="1"/>
  <c r="F211" i="1"/>
  <c r="D211" i="1"/>
  <c r="F91" i="1"/>
  <c r="F89" i="1" s="1"/>
  <c r="E91" i="1"/>
  <c r="E90" i="1" s="1"/>
  <c r="E153" i="1"/>
  <c r="F153" i="1"/>
  <c r="D153" i="1"/>
  <c r="E149" i="1"/>
  <c r="F149" i="1"/>
  <c r="D149" i="1"/>
  <c r="F27" i="1"/>
  <c r="E27" i="1"/>
  <c r="E26" i="1" s="1"/>
  <c r="D27" i="1"/>
  <c r="D26" i="1" s="1"/>
  <c r="D477" i="1" l="1"/>
  <c r="D476" i="1" s="1"/>
  <c r="E477" i="1"/>
  <c r="E476" i="1" s="1"/>
  <c r="F477" i="1"/>
  <c r="F476" i="1" s="1"/>
  <c r="E89" i="1"/>
  <c r="F90" i="1"/>
  <c r="D89" i="1"/>
  <c r="D25" i="1"/>
  <c r="F26" i="1"/>
  <c r="F25" i="1"/>
  <c r="E25" i="1"/>
  <c r="E684" i="1" l="1"/>
  <c r="E683" i="1" s="1"/>
  <c r="F684" i="1"/>
  <c r="F683" i="1" s="1"/>
  <c r="D684" i="1"/>
  <c r="D683" i="1" s="1"/>
  <c r="E299" i="1" l="1"/>
  <c r="E298" i="1" s="1"/>
  <c r="E297" i="1" s="1"/>
  <c r="F299" i="1"/>
  <c r="F298" i="1" s="1"/>
  <c r="F297" i="1" s="1"/>
  <c r="D299" i="1"/>
  <c r="D298" i="1" s="1"/>
  <c r="D297" i="1" s="1"/>
  <c r="D103" i="1" l="1"/>
  <c r="D711" i="1" l="1"/>
  <c r="E711" i="1"/>
  <c r="F711" i="1"/>
  <c r="F103" i="1"/>
  <c r="E103" i="1"/>
  <c r="E435" i="1"/>
  <c r="D564" i="1" l="1"/>
  <c r="D563" i="1" s="1"/>
  <c r="E320" i="1" l="1"/>
  <c r="E319" i="1" s="1"/>
  <c r="E318" i="1" s="1"/>
  <c r="E317" i="1" s="1"/>
  <c r="E316" i="1" s="1"/>
  <c r="F320" i="1"/>
  <c r="F319" i="1" s="1"/>
  <c r="F318" i="1" s="1"/>
  <c r="F317" i="1" s="1"/>
  <c r="F316" i="1" s="1"/>
  <c r="D649" i="1" l="1"/>
  <c r="D648" i="1" s="1"/>
  <c r="D647" i="1" s="1"/>
  <c r="E649" i="1"/>
  <c r="E648" i="1" s="1"/>
  <c r="E647" i="1" s="1"/>
  <c r="F649" i="1"/>
  <c r="F648" i="1" s="1"/>
  <c r="F647" i="1" s="1"/>
  <c r="D591" i="1"/>
  <c r="E591" i="1"/>
  <c r="F591" i="1"/>
  <c r="E276" i="1"/>
  <c r="F276" i="1"/>
  <c r="D276" i="1"/>
  <c r="F583" i="1" l="1"/>
  <c r="F578" i="1" s="1"/>
  <c r="E583" i="1"/>
  <c r="E578" i="1" s="1"/>
  <c r="D583" i="1"/>
  <c r="D578" i="1" s="1"/>
  <c r="D613" i="1"/>
  <c r="E680" i="1" l="1"/>
  <c r="E679" i="1" s="1"/>
  <c r="E678" i="1" s="1"/>
  <c r="F680" i="1"/>
  <c r="F679" i="1" s="1"/>
  <c r="F678" i="1" s="1"/>
  <c r="D680" i="1"/>
  <c r="D679" i="1" s="1"/>
  <c r="D678" i="1" s="1"/>
  <c r="E386" i="1" l="1"/>
  <c r="E385" i="1" s="1"/>
  <c r="E384" i="1" s="1"/>
  <c r="E383" i="1" s="1"/>
  <c r="F386" i="1"/>
  <c r="F385" i="1" s="1"/>
  <c r="F384" i="1" s="1"/>
  <c r="F383" i="1" s="1"/>
  <c r="D386" i="1"/>
  <c r="D385" i="1" s="1"/>
  <c r="D384" i="1" s="1"/>
  <c r="D383" i="1" s="1"/>
  <c r="E314" i="1"/>
  <c r="E313" i="1" s="1"/>
  <c r="E312" i="1" s="1"/>
  <c r="E311" i="1" s="1"/>
  <c r="F314" i="1"/>
  <c r="F313" i="1" s="1"/>
  <c r="F312" i="1" s="1"/>
  <c r="F311" i="1" s="1"/>
  <c r="D314" i="1"/>
  <c r="D313" i="1" s="1"/>
  <c r="D312" i="1" s="1"/>
  <c r="D311" i="1" s="1"/>
  <c r="E140" i="1"/>
  <c r="E139" i="1" s="1"/>
  <c r="E138" i="1" s="1"/>
  <c r="F140" i="1"/>
  <c r="F139" i="1" s="1"/>
  <c r="F138" i="1" s="1"/>
  <c r="D140" i="1"/>
  <c r="D139" i="1" s="1"/>
  <c r="D138" i="1" s="1"/>
  <c r="E661" i="1" l="1"/>
  <c r="E660" i="1" s="1"/>
  <c r="E659" i="1" s="1"/>
  <c r="F661" i="1"/>
  <c r="F660" i="1" s="1"/>
  <c r="F659" i="1" s="1"/>
  <c r="D661" i="1"/>
  <c r="D660" i="1" s="1"/>
  <c r="D659" i="1" s="1"/>
  <c r="E665" i="1"/>
  <c r="E664" i="1" s="1"/>
  <c r="E663" i="1" s="1"/>
  <c r="F665" i="1"/>
  <c r="F664" i="1" s="1"/>
  <c r="F663" i="1" s="1"/>
  <c r="D665" i="1"/>
  <c r="D664" i="1" s="1"/>
  <c r="D663" i="1" s="1"/>
  <c r="E674" i="1"/>
  <c r="E673" i="1" s="1"/>
  <c r="E672" i="1" s="1"/>
  <c r="F674" i="1"/>
  <c r="F673" i="1" s="1"/>
  <c r="F672" i="1" s="1"/>
  <c r="D674" i="1"/>
  <c r="E136" i="1"/>
  <c r="E135" i="1" s="1"/>
  <c r="E134" i="1" s="1"/>
  <c r="E129" i="1" s="1"/>
  <c r="F136" i="1"/>
  <c r="F135" i="1" s="1"/>
  <c r="F134" i="1" s="1"/>
  <c r="F129" i="1" s="1"/>
  <c r="D136" i="1"/>
  <c r="D135" i="1" s="1"/>
  <c r="D134" i="1" s="1"/>
  <c r="D129" i="1" s="1"/>
  <c r="D673" i="1" l="1"/>
  <c r="D672" i="1" s="1"/>
  <c r="D671" i="1" s="1"/>
  <c r="F671" i="1"/>
  <c r="E671" i="1"/>
  <c r="E541" i="1" l="1"/>
  <c r="E540" i="1" s="1"/>
  <c r="E539" i="1" s="1"/>
  <c r="F541" i="1"/>
  <c r="F540" i="1" s="1"/>
  <c r="F539" i="1" s="1"/>
  <c r="D541" i="1"/>
  <c r="D540" i="1" s="1"/>
  <c r="D539" i="1" s="1"/>
  <c r="D22" i="1"/>
  <c r="D20" i="1" s="1"/>
  <c r="D19" i="1" s="1"/>
  <c r="E22" i="1"/>
  <c r="E20" i="1" s="1"/>
  <c r="E19" i="1" s="1"/>
  <c r="F22" i="1"/>
  <c r="F21" i="1" s="1"/>
  <c r="D31" i="1"/>
  <c r="D30" i="1" s="1"/>
  <c r="E31" i="1"/>
  <c r="E29" i="1" s="1"/>
  <c r="E24" i="1" s="1"/>
  <c r="F31" i="1"/>
  <c r="F29" i="1" s="1"/>
  <c r="F24" i="1" s="1"/>
  <c r="D48" i="1"/>
  <c r="D46" i="1" s="1"/>
  <c r="E48" i="1"/>
  <c r="E47" i="1" s="1"/>
  <c r="F48" i="1"/>
  <c r="F46" i="1" s="1"/>
  <c r="D52" i="1"/>
  <c r="D51" i="1" s="1"/>
  <c r="E52" i="1"/>
  <c r="E51" i="1" s="1"/>
  <c r="F52" i="1"/>
  <c r="F51" i="1" s="1"/>
  <c r="D56" i="1"/>
  <c r="D55" i="1" s="1"/>
  <c r="E56" i="1"/>
  <c r="E55" i="1" s="1"/>
  <c r="F56" i="1"/>
  <c r="F54" i="1" s="1"/>
  <c r="D64" i="1"/>
  <c r="D62" i="1" s="1"/>
  <c r="E64" i="1"/>
  <c r="E62" i="1" s="1"/>
  <c r="F64" i="1"/>
  <c r="F63" i="1" s="1"/>
  <c r="D69" i="1"/>
  <c r="D67" i="1" s="1"/>
  <c r="E69" i="1"/>
  <c r="E68" i="1" s="1"/>
  <c r="F69" i="1"/>
  <c r="F67" i="1" s="1"/>
  <c r="D74" i="1"/>
  <c r="D73" i="1" s="1"/>
  <c r="E74" i="1"/>
  <c r="E73" i="1" s="1"/>
  <c r="F74" i="1"/>
  <c r="F72" i="1" s="1"/>
  <c r="D76" i="1"/>
  <c r="E76" i="1"/>
  <c r="F76" i="1"/>
  <c r="D78" i="1"/>
  <c r="D77" i="1" s="1"/>
  <c r="E78" i="1"/>
  <c r="E77" i="1" s="1"/>
  <c r="F78" i="1"/>
  <c r="F77" i="1" s="1"/>
  <c r="D86" i="1"/>
  <c r="D85" i="1" s="1"/>
  <c r="E86" i="1"/>
  <c r="E84" i="1" s="1"/>
  <c r="F86" i="1"/>
  <c r="F85" i="1" s="1"/>
  <c r="D98" i="1"/>
  <c r="D93" i="1" s="1"/>
  <c r="E98" i="1"/>
  <c r="E93" i="1" s="1"/>
  <c r="F98" i="1"/>
  <c r="F93" i="1" s="1"/>
  <c r="D102" i="1"/>
  <c r="D101" i="1" s="1"/>
  <c r="E102" i="1"/>
  <c r="E100" i="1" s="1"/>
  <c r="F102" i="1"/>
  <c r="F100" i="1" s="1"/>
  <c r="D106" i="1"/>
  <c r="D104" i="1" s="1"/>
  <c r="E106" i="1"/>
  <c r="E104" i="1" s="1"/>
  <c r="F106" i="1"/>
  <c r="F105" i="1" s="1"/>
  <c r="D110" i="1"/>
  <c r="D109" i="1" s="1"/>
  <c r="D108" i="1" s="1"/>
  <c r="E110" i="1"/>
  <c r="E109" i="1" s="1"/>
  <c r="E108" i="1" s="1"/>
  <c r="F110" i="1"/>
  <c r="F109" i="1" s="1"/>
  <c r="F108" i="1" s="1"/>
  <c r="D114" i="1"/>
  <c r="D112" i="1" s="1"/>
  <c r="E114" i="1"/>
  <c r="E113" i="1" s="1"/>
  <c r="F114" i="1"/>
  <c r="F112" i="1" s="1"/>
  <c r="D118" i="1"/>
  <c r="D117" i="1" s="1"/>
  <c r="E118" i="1"/>
  <c r="E116" i="1" s="1"/>
  <c r="F118" i="1"/>
  <c r="F116" i="1" s="1"/>
  <c r="D145" i="1"/>
  <c r="D144" i="1" s="1"/>
  <c r="E145" i="1"/>
  <c r="E144" i="1" s="1"/>
  <c r="F145" i="1"/>
  <c r="F143" i="1" s="1"/>
  <c r="D147" i="1"/>
  <c r="E147" i="1"/>
  <c r="F148" i="1"/>
  <c r="D151" i="1"/>
  <c r="E152" i="1"/>
  <c r="F151" i="1"/>
  <c r="D158" i="1"/>
  <c r="D156" i="1" s="1"/>
  <c r="E158" i="1"/>
  <c r="E157" i="1" s="1"/>
  <c r="F158" i="1"/>
  <c r="F156" i="1" s="1"/>
  <c r="D162" i="1"/>
  <c r="E162" i="1"/>
  <c r="F162" i="1"/>
  <c r="D165" i="1"/>
  <c r="E165" i="1"/>
  <c r="F165" i="1"/>
  <c r="D167" i="1"/>
  <c r="E167" i="1"/>
  <c r="F167" i="1"/>
  <c r="D170" i="1"/>
  <c r="D169" i="1" s="1"/>
  <c r="E170" i="1"/>
  <c r="E169" i="1" s="1"/>
  <c r="F170" i="1"/>
  <c r="F169" i="1" s="1"/>
  <c r="D175" i="1"/>
  <c r="D174" i="1" s="1"/>
  <c r="E175" i="1"/>
  <c r="E174" i="1" s="1"/>
  <c r="F175" i="1"/>
  <c r="F174" i="1" s="1"/>
  <c r="D180" i="1"/>
  <c r="D179" i="1" s="1"/>
  <c r="E180" i="1"/>
  <c r="E179" i="1" s="1"/>
  <c r="F180" i="1"/>
  <c r="F179" i="1" s="1"/>
  <c r="D182" i="1"/>
  <c r="E182" i="1"/>
  <c r="F182" i="1"/>
  <c r="D186" i="1"/>
  <c r="D185" i="1" s="1"/>
  <c r="E186" i="1"/>
  <c r="F186" i="1"/>
  <c r="F185" i="1" s="1"/>
  <c r="D189" i="1"/>
  <c r="D188" i="1" s="1"/>
  <c r="E189" i="1"/>
  <c r="E188" i="1" s="1"/>
  <c r="F189" i="1"/>
  <c r="F188" i="1" s="1"/>
  <c r="D207" i="1"/>
  <c r="D206" i="1" s="1"/>
  <c r="E207" i="1"/>
  <c r="E205" i="1" s="1"/>
  <c r="F207" i="1"/>
  <c r="F205" i="1" s="1"/>
  <c r="D210" i="1"/>
  <c r="E209" i="1"/>
  <c r="F209" i="1"/>
  <c r="D220" i="1"/>
  <c r="D219" i="1" s="1"/>
  <c r="D218" i="1" s="1"/>
  <c r="E220" i="1"/>
  <c r="E219" i="1" s="1"/>
  <c r="E218" i="1" s="1"/>
  <c r="F220" i="1"/>
  <c r="F219" i="1" s="1"/>
  <c r="F218" i="1" s="1"/>
  <c r="D224" i="1"/>
  <c r="D223" i="1" s="1"/>
  <c r="D222" i="1" s="1"/>
  <c r="E224" i="1"/>
  <c r="E223" i="1" s="1"/>
  <c r="E222" i="1" s="1"/>
  <c r="F224" i="1"/>
  <c r="F223" i="1" s="1"/>
  <c r="F222" i="1" s="1"/>
  <c r="D228" i="1"/>
  <c r="D227" i="1" s="1"/>
  <c r="D226" i="1" s="1"/>
  <c r="E228" i="1"/>
  <c r="E227" i="1" s="1"/>
  <c r="E226" i="1" s="1"/>
  <c r="F228" i="1"/>
  <c r="F227" i="1" s="1"/>
  <c r="F226" i="1" s="1"/>
  <c r="D234" i="1"/>
  <c r="D233" i="1" s="1"/>
  <c r="E234" i="1"/>
  <c r="E233" i="1" s="1"/>
  <c r="F234" i="1"/>
  <c r="F233" i="1" s="1"/>
  <c r="D240" i="1"/>
  <c r="D239" i="1" s="1"/>
  <c r="D238" i="1" s="1"/>
  <c r="E240" i="1"/>
  <c r="E239" i="1" s="1"/>
  <c r="E238" i="1" s="1"/>
  <c r="F240" i="1"/>
  <c r="F239" i="1" s="1"/>
  <c r="F238" i="1" s="1"/>
  <c r="D246" i="1"/>
  <c r="D245" i="1" s="1"/>
  <c r="E246" i="1"/>
  <c r="E244" i="1" s="1"/>
  <c r="E243" i="1" s="1"/>
  <c r="F246" i="1"/>
  <c r="F245" i="1" s="1"/>
  <c r="D251" i="1"/>
  <c r="E251" i="1"/>
  <c r="E250" i="1" s="1"/>
  <c r="F251" i="1"/>
  <c r="F250" i="1" s="1"/>
  <c r="D253" i="1"/>
  <c r="E253" i="1"/>
  <c r="F253" i="1"/>
  <c r="D256" i="1"/>
  <c r="D254" i="1" s="1"/>
  <c r="E256" i="1"/>
  <c r="E255" i="1" s="1"/>
  <c r="F256" i="1"/>
  <c r="F255" i="1" s="1"/>
  <c r="D261" i="1"/>
  <c r="D259" i="1" s="1"/>
  <c r="E261" i="1"/>
  <c r="E260" i="1" s="1"/>
  <c r="F261" i="1"/>
  <c r="F260" i="1" s="1"/>
  <c r="D267" i="1"/>
  <c r="D266" i="1" s="1"/>
  <c r="E267" i="1"/>
  <c r="E266" i="1" s="1"/>
  <c r="F267" i="1"/>
  <c r="F266" i="1" s="1"/>
  <c r="D270" i="1"/>
  <c r="D269" i="1" s="1"/>
  <c r="E270" i="1"/>
  <c r="E269" i="1" s="1"/>
  <c r="F270" i="1"/>
  <c r="F269" i="1" s="1"/>
  <c r="D274" i="1"/>
  <c r="E274" i="1"/>
  <c r="F274" i="1"/>
  <c r="D280" i="1"/>
  <c r="D279" i="1" s="1"/>
  <c r="D278" i="1" s="1"/>
  <c r="E280" i="1"/>
  <c r="E279" i="1" s="1"/>
  <c r="E278" i="1" s="1"/>
  <c r="F280" i="1"/>
  <c r="F279" i="1" s="1"/>
  <c r="F278" i="1" s="1"/>
  <c r="D290" i="1"/>
  <c r="D288" i="1" s="1"/>
  <c r="E290" i="1"/>
  <c r="E289" i="1" s="1"/>
  <c r="F290" i="1"/>
  <c r="F289" i="1" s="1"/>
  <c r="D295" i="1"/>
  <c r="D294" i="1" s="1"/>
  <c r="D293" i="1" s="1"/>
  <c r="E295" i="1"/>
  <c r="E294" i="1" s="1"/>
  <c r="E293" i="1" s="1"/>
  <c r="F295" i="1"/>
  <c r="F294" i="1" s="1"/>
  <c r="F293" i="1" s="1"/>
  <c r="D308" i="1"/>
  <c r="D306" i="1" s="1"/>
  <c r="D305" i="1" s="1"/>
  <c r="E308" i="1"/>
  <c r="E306" i="1" s="1"/>
  <c r="E305" i="1" s="1"/>
  <c r="F308" i="1"/>
  <c r="F306" i="1" s="1"/>
  <c r="F305" i="1" s="1"/>
  <c r="E310" i="1"/>
  <c r="D320" i="1"/>
  <c r="D319" i="1" s="1"/>
  <c r="D318" i="1" s="1"/>
  <c r="D317" i="1" s="1"/>
  <c r="D316" i="1" s="1"/>
  <c r="D330" i="1"/>
  <c r="D328" i="1" s="1"/>
  <c r="E330" i="1"/>
  <c r="E328" i="1" s="1"/>
  <c r="F330" i="1"/>
  <c r="F328" i="1" s="1"/>
  <c r="D335" i="1"/>
  <c r="D334" i="1" s="1"/>
  <c r="D333" i="1" s="1"/>
  <c r="E335" i="1"/>
  <c r="E334" i="1" s="1"/>
  <c r="E333" i="1" s="1"/>
  <c r="F335" i="1"/>
  <c r="F334" i="1" s="1"/>
  <c r="F333" i="1" s="1"/>
  <c r="D339" i="1"/>
  <c r="D338" i="1" s="1"/>
  <c r="D337" i="1" s="1"/>
  <c r="E339" i="1"/>
  <c r="E338" i="1" s="1"/>
  <c r="E337" i="1" s="1"/>
  <c r="F339" i="1"/>
  <c r="F338" i="1" s="1"/>
  <c r="F337" i="1" s="1"/>
  <c r="D343" i="1"/>
  <c r="D342" i="1" s="1"/>
  <c r="D341" i="1" s="1"/>
  <c r="E343" i="1"/>
  <c r="E342" i="1" s="1"/>
  <c r="E341" i="1" s="1"/>
  <c r="F343" i="1"/>
  <c r="F342" i="1" s="1"/>
  <c r="F341" i="1" s="1"/>
  <c r="D348" i="1"/>
  <c r="D347" i="1" s="1"/>
  <c r="D346" i="1" s="1"/>
  <c r="E348" i="1"/>
  <c r="E347" i="1" s="1"/>
  <c r="E346" i="1" s="1"/>
  <c r="F348" i="1"/>
  <c r="F347" i="1" s="1"/>
  <c r="F346" i="1" s="1"/>
  <c r="D353" i="1"/>
  <c r="D352" i="1" s="1"/>
  <c r="D351" i="1" s="1"/>
  <c r="E353" i="1"/>
  <c r="E352" i="1" s="1"/>
  <c r="E351" i="1" s="1"/>
  <c r="F353" i="1"/>
  <c r="F352" i="1" s="1"/>
  <c r="F351" i="1" s="1"/>
  <c r="D357" i="1"/>
  <c r="D355" i="1" s="1"/>
  <c r="E357" i="1"/>
  <c r="E355" i="1" s="1"/>
  <c r="F357" i="1"/>
  <c r="F355" i="1" s="1"/>
  <c r="D361" i="1"/>
  <c r="D360" i="1" s="1"/>
  <c r="D359" i="1" s="1"/>
  <c r="E361" i="1"/>
  <c r="E360" i="1" s="1"/>
  <c r="E359" i="1" s="1"/>
  <c r="F361" i="1"/>
  <c r="F360" i="1" s="1"/>
  <c r="F359" i="1" s="1"/>
  <c r="D365" i="1"/>
  <c r="D364" i="1" s="1"/>
  <c r="D363" i="1" s="1"/>
  <c r="E365" i="1"/>
  <c r="E364" i="1" s="1"/>
  <c r="E363" i="1" s="1"/>
  <c r="F365" i="1"/>
  <c r="F364" i="1" s="1"/>
  <c r="F363" i="1" s="1"/>
  <c r="D370" i="1"/>
  <c r="D369" i="1" s="1"/>
  <c r="E370" i="1"/>
  <c r="E369" i="1" s="1"/>
  <c r="F370" i="1"/>
  <c r="F369" i="1" s="1"/>
  <c r="D375" i="1"/>
  <c r="D374" i="1" s="1"/>
  <c r="E375" i="1"/>
  <c r="E374" i="1" s="1"/>
  <c r="F375" i="1"/>
  <c r="F374" i="1" s="1"/>
  <c r="D377" i="1"/>
  <c r="E377" i="1"/>
  <c r="F377" i="1"/>
  <c r="D381" i="1"/>
  <c r="D380" i="1" s="1"/>
  <c r="D379" i="1" s="1"/>
  <c r="E381" i="1"/>
  <c r="E380" i="1" s="1"/>
  <c r="E379" i="1" s="1"/>
  <c r="F381" i="1"/>
  <c r="F380" i="1" s="1"/>
  <c r="F379" i="1" s="1"/>
  <c r="D391" i="1"/>
  <c r="D390" i="1" s="1"/>
  <c r="E391" i="1"/>
  <c r="E389" i="1" s="1"/>
  <c r="E388" i="1" s="1"/>
  <c r="F391" i="1"/>
  <c r="F390" i="1" s="1"/>
  <c r="D396" i="1"/>
  <c r="D395" i="1" s="1"/>
  <c r="E396" i="1"/>
  <c r="E395" i="1" s="1"/>
  <c r="F396" i="1"/>
  <c r="F395" i="1" s="1"/>
  <c r="D401" i="1"/>
  <c r="D400" i="1" s="1"/>
  <c r="E401" i="1"/>
  <c r="E400" i="1" s="1"/>
  <c r="F401" i="1"/>
  <c r="F400" i="1" s="1"/>
  <c r="D405" i="1"/>
  <c r="D404" i="1" s="1"/>
  <c r="D403" i="1" s="1"/>
  <c r="E405" i="1"/>
  <c r="E404" i="1" s="1"/>
  <c r="E403" i="1" s="1"/>
  <c r="F405" i="1"/>
  <c r="F404" i="1" s="1"/>
  <c r="F403" i="1" s="1"/>
  <c r="D410" i="1"/>
  <c r="D409" i="1" s="1"/>
  <c r="E410" i="1"/>
  <c r="E409" i="1" s="1"/>
  <c r="F410" i="1"/>
  <c r="F409" i="1" s="1"/>
  <c r="D415" i="1"/>
  <c r="D414" i="1" s="1"/>
  <c r="E415" i="1"/>
  <c r="E414" i="1" s="1"/>
  <c r="F415" i="1"/>
  <c r="F414" i="1" s="1"/>
  <c r="D419" i="1"/>
  <c r="D418" i="1" s="1"/>
  <c r="E419" i="1"/>
  <c r="E417" i="1" s="1"/>
  <c r="F419" i="1"/>
  <c r="F418" i="1" s="1"/>
  <c r="D424" i="1"/>
  <c r="D423" i="1" s="1"/>
  <c r="D422" i="1" s="1"/>
  <c r="D421" i="1" s="1"/>
  <c r="E424" i="1"/>
  <c r="E423" i="1" s="1"/>
  <c r="E422" i="1" s="1"/>
  <c r="E421" i="1" s="1"/>
  <c r="F424" i="1"/>
  <c r="F423" i="1" s="1"/>
  <c r="F422" i="1" s="1"/>
  <c r="F421" i="1" s="1"/>
  <c r="E434" i="1"/>
  <c r="E433" i="1" s="1"/>
  <c r="D435" i="1"/>
  <c r="D434" i="1" s="1"/>
  <c r="D433" i="1" s="1"/>
  <c r="F435" i="1"/>
  <c r="F434" i="1" s="1"/>
  <c r="F433" i="1" s="1"/>
  <c r="D439" i="1"/>
  <c r="D438" i="1" s="1"/>
  <c r="D437" i="1" s="1"/>
  <c r="E439" i="1"/>
  <c r="E438" i="1" s="1"/>
  <c r="E437" i="1" s="1"/>
  <c r="F439" i="1"/>
  <c r="F438" i="1" s="1"/>
  <c r="F437" i="1" s="1"/>
  <c r="D447" i="1"/>
  <c r="D445" i="1" s="1"/>
  <c r="D444" i="1" s="1"/>
  <c r="E447" i="1"/>
  <c r="E445" i="1" s="1"/>
  <c r="E444" i="1" s="1"/>
  <c r="F447" i="1"/>
  <c r="F446" i="1" s="1"/>
  <c r="D453" i="1"/>
  <c r="D452" i="1" s="1"/>
  <c r="E453" i="1"/>
  <c r="E452" i="1" s="1"/>
  <c r="F453" i="1"/>
  <c r="F452" i="1" s="1"/>
  <c r="D458" i="1"/>
  <c r="D457" i="1" s="1"/>
  <c r="E458" i="1"/>
  <c r="E457" i="1" s="1"/>
  <c r="F458" i="1"/>
  <c r="F457" i="1" s="1"/>
  <c r="D461" i="1"/>
  <c r="D460" i="1" s="1"/>
  <c r="E461" i="1"/>
  <c r="E460" i="1" s="1"/>
  <c r="F461" i="1"/>
  <c r="F460" i="1" s="1"/>
  <c r="D465" i="1"/>
  <c r="D464" i="1" s="1"/>
  <c r="D463" i="1" s="1"/>
  <c r="E465" i="1"/>
  <c r="E464" i="1" s="1"/>
  <c r="E463" i="1" s="1"/>
  <c r="F465" i="1"/>
  <c r="F464" i="1" s="1"/>
  <c r="F463" i="1" s="1"/>
  <c r="D469" i="1"/>
  <c r="D468" i="1" s="1"/>
  <c r="D467" i="1" s="1"/>
  <c r="E469" i="1"/>
  <c r="E468" i="1" s="1"/>
  <c r="E467" i="1" s="1"/>
  <c r="F469" i="1"/>
  <c r="F468" i="1" s="1"/>
  <c r="F467" i="1" s="1"/>
  <c r="D474" i="1"/>
  <c r="D473" i="1" s="1"/>
  <c r="D472" i="1" s="1"/>
  <c r="D471" i="1" s="1"/>
  <c r="E474" i="1"/>
  <c r="E473" i="1" s="1"/>
  <c r="E472" i="1" s="1"/>
  <c r="E471" i="1" s="1"/>
  <c r="F474" i="1"/>
  <c r="F473" i="1" s="1"/>
  <c r="F472" i="1" s="1"/>
  <c r="F471" i="1" s="1"/>
  <c r="D493" i="1"/>
  <c r="D492" i="1" s="1"/>
  <c r="D491" i="1" s="1"/>
  <c r="E493" i="1"/>
  <c r="E492" i="1" s="1"/>
  <c r="E491" i="1" s="1"/>
  <c r="F493" i="1"/>
  <c r="F492" i="1" s="1"/>
  <c r="F491" i="1" s="1"/>
  <c r="D500" i="1"/>
  <c r="D498" i="1" s="1"/>
  <c r="D497" i="1" s="1"/>
  <c r="E500" i="1"/>
  <c r="E499" i="1" s="1"/>
  <c r="F500" i="1"/>
  <c r="F499" i="1" s="1"/>
  <c r="D506" i="1"/>
  <c r="E506" i="1"/>
  <c r="E505" i="1" s="1"/>
  <c r="F506" i="1"/>
  <c r="F505" i="1" s="1"/>
  <c r="D512" i="1"/>
  <c r="D511" i="1" s="1"/>
  <c r="E512" i="1"/>
  <c r="E511" i="1" s="1"/>
  <c r="F512" i="1"/>
  <c r="F511" i="1" s="1"/>
  <c r="D518" i="1"/>
  <c r="D517" i="1" s="1"/>
  <c r="E518" i="1"/>
  <c r="E517" i="1" s="1"/>
  <c r="F518" i="1"/>
  <c r="F517" i="1" s="1"/>
  <c r="D524" i="1"/>
  <c r="E524" i="1"/>
  <c r="E523" i="1" s="1"/>
  <c r="F524" i="1"/>
  <c r="D529" i="1"/>
  <c r="D528" i="1" s="1"/>
  <c r="E529" i="1"/>
  <c r="F529" i="1"/>
  <c r="F528" i="1" s="1"/>
  <c r="D537" i="1"/>
  <c r="D536" i="1" s="1"/>
  <c r="E537" i="1"/>
  <c r="F537" i="1"/>
  <c r="F536" i="1" s="1"/>
  <c r="D546" i="1"/>
  <c r="D545" i="1" s="1"/>
  <c r="E546" i="1"/>
  <c r="F546" i="1"/>
  <c r="F545" i="1" s="1"/>
  <c r="D551" i="1"/>
  <c r="D550" i="1" s="1"/>
  <c r="E551" i="1"/>
  <c r="E550" i="1" s="1"/>
  <c r="F551" i="1"/>
  <c r="F550" i="1" s="1"/>
  <c r="D555" i="1"/>
  <c r="D554" i="1" s="1"/>
  <c r="E555" i="1"/>
  <c r="E554" i="1" s="1"/>
  <c r="F555" i="1"/>
  <c r="F554" i="1" s="1"/>
  <c r="D560" i="1"/>
  <c r="D559" i="1" s="1"/>
  <c r="E560" i="1"/>
  <c r="E559" i="1" s="1"/>
  <c r="F560" i="1"/>
  <c r="F559" i="1" s="1"/>
  <c r="E564" i="1"/>
  <c r="E563" i="1" s="1"/>
  <c r="F564" i="1"/>
  <c r="F563" i="1" s="1"/>
  <c r="D569" i="1"/>
  <c r="E569" i="1"/>
  <c r="E568" i="1" s="1"/>
  <c r="F569" i="1"/>
  <c r="F568" i="1" s="1"/>
  <c r="D574" i="1"/>
  <c r="E574" i="1"/>
  <c r="F574" i="1"/>
  <c r="D596" i="1"/>
  <c r="D595" i="1" s="1"/>
  <c r="E596" i="1"/>
  <c r="E595" i="1" s="1"/>
  <c r="F596" i="1"/>
  <c r="F595" i="1" s="1"/>
  <c r="D601" i="1"/>
  <c r="D600" i="1" s="1"/>
  <c r="E601" i="1"/>
  <c r="E600" i="1" s="1"/>
  <c r="F601" i="1"/>
  <c r="F600" i="1" s="1"/>
  <c r="D606" i="1"/>
  <c r="D604" i="1" s="1"/>
  <c r="E606" i="1"/>
  <c r="E604" i="1" s="1"/>
  <c r="F606" i="1"/>
  <c r="F605" i="1" s="1"/>
  <c r="D610" i="1"/>
  <c r="D609" i="1" s="1"/>
  <c r="D608" i="1" s="1"/>
  <c r="E610" i="1"/>
  <c r="E609" i="1" s="1"/>
  <c r="E608" i="1" s="1"/>
  <c r="F610" i="1"/>
  <c r="F609" i="1" s="1"/>
  <c r="F608" i="1" s="1"/>
  <c r="E613" i="1"/>
  <c r="F613" i="1"/>
  <c r="D616" i="1"/>
  <c r="D615" i="1" s="1"/>
  <c r="E616" i="1"/>
  <c r="E615" i="1" s="1"/>
  <c r="F616" i="1"/>
  <c r="F615" i="1" s="1"/>
  <c r="D618" i="1"/>
  <c r="D617" i="1" s="1"/>
  <c r="E618" i="1"/>
  <c r="E617" i="1" s="1"/>
  <c r="F618" i="1"/>
  <c r="F617" i="1" s="1"/>
  <c r="D624" i="1"/>
  <c r="D623" i="1" s="1"/>
  <c r="D622" i="1" s="1"/>
  <c r="E624" i="1"/>
  <c r="E623" i="1" s="1"/>
  <c r="E622" i="1" s="1"/>
  <c r="F624" i="1"/>
  <c r="F623" i="1" s="1"/>
  <c r="F622" i="1" s="1"/>
  <c r="D632" i="1"/>
  <c r="D631" i="1" s="1"/>
  <c r="D630" i="1" s="1"/>
  <c r="E632" i="1"/>
  <c r="E631" i="1" s="1"/>
  <c r="E630" i="1" s="1"/>
  <c r="F632" i="1"/>
  <c r="F631" i="1" s="1"/>
  <c r="F630" i="1" s="1"/>
  <c r="D643" i="1"/>
  <c r="D642" i="1" s="1"/>
  <c r="E643" i="1"/>
  <c r="E642" i="1" s="1"/>
  <c r="F643" i="1"/>
  <c r="F642" i="1" s="1"/>
  <c r="D653" i="1"/>
  <c r="D652" i="1" s="1"/>
  <c r="D651" i="1" s="1"/>
  <c r="E653" i="1"/>
  <c r="E652" i="1" s="1"/>
  <c r="E651" i="1" s="1"/>
  <c r="F653" i="1"/>
  <c r="F652" i="1" s="1"/>
  <c r="F651" i="1" s="1"/>
  <c r="D686" i="1"/>
  <c r="D682" i="1" s="1"/>
  <c r="D677" i="1" s="1"/>
  <c r="E686" i="1"/>
  <c r="E682" i="1" s="1"/>
  <c r="E677" i="1" s="1"/>
  <c r="F686" i="1"/>
  <c r="F682" i="1" s="1"/>
  <c r="F677" i="1" s="1"/>
  <c r="D687" i="1"/>
  <c r="E687" i="1"/>
  <c r="F687" i="1"/>
  <c r="D692" i="1"/>
  <c r="D691" i="1" s="1"/>
  <c r="E692" i="1"/>
  <c r="E691" i="1" s="1"/>
  <c r="F692" i="1"/>
  <c r="F691" i="1" s="1"/>
  <c r="D697" i="1"/>
  <c r="D696" i="1" s="1"/>
  <c r="E697" i="1"/>
  <c r="F697" i="1"/>
  <c r="F696" i="1" s="1"/>
  <c r="D701" i="1"/>
  <c r="D699" i="1" s="1"/>
  <c r="E701" i="1"/>
  <c r="E700" i="1" s="1"/>
  <c r="F701" i="1"/>
  <c r="F699" i="1" s="1"/>
  <c r="D706" i="1"/>
  <c r="D705" i="1" s="1"/>
  <c r="E706" i="1"/>
  <c r="E705" i="1" s="1"/>
  <c r="F706" i="1"/>
  <c r="F705" i="1" s="1"/>
  <c r="D710" i="1"/>
  <c r="E710" i="1"/>
  <c r="F710" i="1"/>
  <c r="D715" i="1"/>
  <c r="E715" i="1"/>
  <c r="F715" i="1"/>
  <c r="D719" i="1"/>
  <c r="E719" i="1"/>
  <c r="F719" i="1"/>
  <c r="D722" i="1"/>
  <c r="D721" i="1" s="1"/>
  <c r="E722" i="1"/>
  <c r="E721" i="1" s="1"/>
  <c r="F722" i="1"/>
  <c r="F721" i="1" s="1"/>
  <c r="D728" i="1"/>
  <c r="D727" i="1" s="1"/>
  <c r="D726" i="1" s="1"/>
  <c r="D725" i="1" s="1"/>
  <c r="D724" i="1" s="1"/>
  <c r="E728" i="1"/>
  <c r="E727" i="1" s="1"/>
  <c r="E726" i="1" s="1"/>
  <c r="E725" i="1" s="1"/>
  <c r="E724" i="1" s="1"/>
  <c r="F728" i="1"/>
  <c r="F727" i="1" s="1"/>
  <c r="F726" i="1" s="1"/>
  <c r="F725" i="1" s="1"/>
  <c r="F724" i="1" s="1"/>
  <c r="D562" i="1" l="1"/>
  <c r="E562" i="1"/>
  <c r="E191" i="1"/>
  <c r="F562" i="1"/>
  <c r="F191" i="1"/>
  <c r="D621" i="1"/>
  <c r="D620" i="1" s="1"/>
  <c r="D287" i="1"/>
  <c r="F213" i="1"/>
  <c r="E213" i="1"/>
  <c r="D213" i="1"/>
  <c r="E249" i="1"/>
  <c r="E248" i="1" s="1"/>
  <c r="E242" i="1" s="1"/>
  <c r="F249" i="1"/>
  <c r="F248" i="1" s="1"/>
  <c r="F717" i="1"/>
  <c r="D717" i="1"/>
  <c r="E717" i="1"/>
  <c r="D523" i="1"/>
  <c r="D522" i="1"/>
  <c r="D521" i="1" s="1"/>
  <c r="F523" i="1"/>
  <c r="F522" i="1"/>
  <c r="F521" i="1" s="1"/>
  <c r="E528" i="1"/>
  <c r="E522" i="1"/>
  <c r="E521" i="1" s="1"/>
  <c r="D432" i="1"/>
  <c r="D408" i="1"/>
  <c r="E408" i="1"/>
  <c r="E407" i="1" s="1"/>
  <c r="F408" i="1"/>
  <c r="D327" i="1"/>
  <c r="E327" i="1"/>
  <c r="F327" i="1"/>
  <c r="D704" i="1"/>
  <c r="D703" i="1" s="1"/>
  <c r="F356" i="1"/>
  <c r="F345" i="1"/>
  <c r="D356" i="1"/>
  <c r="D345" i="1"/>
  <c r="D568" i="1"/>
  <c r="F634" i="1"/>
  <c r="E634" i="1"/>
  <c r="D368" i="1"/>
  <c r="D367" i="1" s="1"/>
  <c r="F718" i="1"/>
  <c r="D718" i="1"/>
  <c r="F97" i="1"/>
  <c r="E97" i="1"/>
  <c r="E605" i="1"/>
  <c r="F152" i="1"/>
  <c r="D244" i="1"/>
  <c r="D243" i="1" s="1"/>
  <c r="E704" i="1"/>
  <c r="E703" i="1" s="1"/>
  <c r="F206" i="1"/>
  <c r="E603" i="1"/>
  <c r="D329" i="1"/>
  <c r="E516" i="1"/>
  <c r="E515" i="1" s="1"/>
  <c r="F368" i="1"/>
  <c r="F367" i="1" s="1"/>
  <c r="E210" i="1"/>
  <c r="D307" i="1"/>
  <c r="D700" i="1"/>
  <c r="F700" i="1"/>
  <c r="E690" i="1"/>
  <c r="E594" i="1"/>
  <c r="E593" i="1" s="1"/>
  <c r="D504" i="1"/>
  <c r="D503" i="1" s="1"/>
  <c r="D496" i="1" s="1"/>
  <c r="F394" i="1"/>
  <c r="F393" i="1" s="1"/>
  <c r="E329" i="1"/>
  <c r="D84" i="1"/>
  <c r="F73" i="1"/>
  <c r="F30" i="1"/>
  <c r="D21" i="1"/>
  <c r="F417" i="1"/>
  <c r="F704" i="1"/>
  <c r="F703" i="1" s="1"/>
  <c r="D446" i="1"/>
  <c r="D394" i="1"/>
  <c r="D393" i="1" s="1"/>
  <c r="D389" i="1"/>
  <c r="D388" i="1" s="1"/>
  <c r="D105" i="1"/>
  <c r="F594" i="1"/>
  <c r="F593" i="1" s="1"/>
  <c r="D553" i="1"/>
  <c r="D535" i="1"/>
  <c r="D451" i="1"/>
  <c r="D450" i="1" s="1"/>
  <c r="D449" i="1" s="1"/>
  <c r="E368" i="1"/>
  <c r="E367" i="1" s="1"/>
  <c r="E307" i="1"/>
  <c r="F288" i="1"/>
  <c r="F287" i="1" s="1"/>
  <c r="D273" i="1"/>
  <c r="D265" i="1" s="1"/>
  <c r="D264" i="1" s="1"/>
  <c r="F259" i="1"/>
  <c r="F254" i="1"/>
  <c r="E117" i="1"/>
  <c r="E72" i="1"/>
  <c r="E699" i="1"/>
  <c r="D605" i="1"/>
  <c r="F516" i="1"/>
  <c r="F515" i="1" s="1"/>
  <c r="E418" i="1"/>
  <c r="E394" i="1"/>
  <c r="E393" i="1" s="1"/>
  <c r="F310" i="1"/>
  <c r="E273" i="1"/>
  <c r="E265" i="1" s="1"/>
  <c r="E264" i="1" s="1"/>
  <c r="E206" i="1"/>
  <c r="F68" i="1"/>
  <c r="E50" i="1"/>
  <c r="F47" i="1"/>
  <c r="E30" i="1"/>
  <c r="F553" i="1"/>
  <c r="F498" i="1"/>
  <c r="F497" i="1" s="1"/>
  <c r="F451" i="1"/>
  <c r="F450" i="1" s="1"/>
  <c r="F449" i="1" s="1"/>
  <c r="F50" i="1"/>
  <c r="D544" i="1"/>
  <c r="F161" i="1"/>
  <c r="F160" i="1" s="1"/>
  <c r="F155" i="1" s="1"/>
  <c r="E101" i="1"/>
  <c r="D209" i="1"/>
  <c r="D116" i="1"/>
  <c r="D148" i="1"/>
  <c r="D143" i="1"/>
  <c r="D63" i="1"/>
  <c r="D54" i="1"/>
  <c r="D100" i="1"/>
  <c r="E54" i="1"/>
  <c r="F157" i="1"/>
  <c r="F113" i="1"/>
  <c r="E143" i="1"/>
  <c r="E184" i="1"/>
  <c r="E161" i="1"/>
  <c r="E160" i="1" s="1"/>
  <c r="D161" i="1"/>
  <c r="D160" i="1" s="1"/>
  <c r="D155" i="1" s="1"/>
  <c r="D603" i="1"/>
  <c r="E544" i="1"/>
  <c r="E545" i="1"/>
  <c r="E345" i="1"/>
  <c r="D594" i="1"/>
  <c r="D593" i="1" s="1"/>
  <c r="E696" i="1"/>
  <c r="E718" i="1"/>
  <c r="F690" i="1"/>
  <c r="F604" i="1"/>
  <c r="F603" i="1" s="1"/>
  <c r="E553" i="1"/>
  <c r="E451" i="1"/>
  <c r="E450" i="1" s="1"/>
  <c r="E449" i="1" s="1"/>
  <c r="E535" i="1"/>
  <c r="E536" i="1"/>
  <c r="D690" i="1"/>
  <c r="D689" i="1" s="1"/>
  <c r="F544" i="1"/>
  <c r="F535" i="1"/>
  <c r="D516" i="1"/>
  <c r="D515" i="1" s="1"/>
  <c r="E504" i="1"/>
  <c r="E503" i="1" s="1"/>
  <c r="E498" i="1"/>
  <c r="E497" i="1" s="1"/>
  <c r="F445" i="1"/>
  <c r="F444" i="1" s="1"/>
  <c r="D417" i="1"/>
  <c r="F389" i="1"/>
  <c r="F388" i="1" s="1"/>
  <c r="D310" i="1"/>
  <c r="E288" i="1"/>
  <c r="E287" i="1" s="1"/>
  <c r="E259" i="1"/>
  <c r="E254" i="1"/>
  <c r="F244" i="1"/>
  <c r="F243" i="1" s="1"/>
  <c r="D205" i="1"/>
  <c r="F184" i="1"/>
  <c r="D173" i="1"/>
  <c r="E156" i="1"/>
  <c r="E151" i="1"/>
  <c r="F147" i="1"/>
  <c r="E112" i="1"/>
  <c r="F104" i="1"/>
  <c r="F84" i="1"/>
  <c r="D72" i="1"/>
  <c r="E67" i="1"/>
  <c r="F62" i="1"/>
  <c r="D50" i="1"/>
  <c r="E46" i="1"/>
  <c r="D29" i="1"/>
  <c r="D24" i="1" s="1"/>
  <c r="F20" i="1"/>
  <c r="F19" i="1" s="1"/>
  <c r="F504" i="1"/>
  <c r="F503" i="1" s="1"/>
  <c r="E173" i="1"/>
  <c r="D505" i="1"/>
  <c r="D499" i="1"/>
  <c r="E446" i="1"/>
  <c r="E390" i="1"/>
  <c r="E356" i="1"/>
  <c r="F329" i="1"/>
  <c r="F307" i="1"/>
  <c r="D289" i="1"/>
  <c r="F273" i="1"/>
  <c r="F265" i="1" s="1"/>
  <c r="F264" i="1" s="1"/>
  <c r="D260" i="1"/>
  <c r="D255" i="1"/>
  <c r="D250" i="1"/>
  <c r="E245" i="1"/>
  <c r="F210" i="1"/>
  <c r="E185" i="1"/>
  <c r="D184" i="1"/>
  <c r="F173" i="1"/>
  <c r="D157" i="1"/>
  <c r="D152" i="1"/>
  <c r="E148" i="1"/>
  <c r="F144" i="1"/>
  <c r="F117" i="1"/>
  <c r="D113" i="1"/>
  <c r="E105" i="1"/>
  <c r="F101" i="1"/>
  <c r="D97" i="1"/>
  <c r="E85" i="1"/>
  <c r="D68" i="1"/>
  <c r="E63" i="1"/>
  <c r="F55" i="1"/>
  <c r="D47" i="1"/>
  <c r="E21" i="1"/>
  <c r="D191" i="1" l="1"/>
  <c r="E621" i="1"/>
  <c r="E620" i="1" s="1"/>
  <c r="F621" i="1"/>
  <c r="F620" i="1" s="1"/>
  <c r="F45" i="1"/>
  <c r="F71" i="1"/>
  <c r="D71" i="1"/>
  <c r="E71" i="1"/>
  <c r="D45" i="1"/>
  <c r="E45" i="1"/>
  <c r="F142" i="1"/>
  <c r="D249" i="1"/>
  <c r="D248" i="1" s="1"/>
  <c r="D242" i="1" s="1"/>
  <c r="D142" i="1"/>
  <c r="F326" i="1"/>
  <c r="E326" i="1"/>
  <c r="D326" i="1"/>
  <c r="F242" i="1"/>
  <c r="D263" i="1"/>
  <c r="F543" i="1"/>
  <c r="F534" i="1" s="1"/>
  <c r="F407" i="1"/>
  <c r="E514" i="1"/>
  <c r="F432" i="1"/>
  <c r="D407" i="1"/>
  <c r="D543" i="1"/>
  <c r="D534" i="1" s="1"/>
  <c r="F514" i="1"/>
  <c r="F496" i="1"/>
  <c r="E689" i="1"/>
  <c r="E676" i="1" s="1"/>
  <c r="E432" i="1"/>
  <c r="F263" i="1"/>
  <c r="E172" i="1"/>
  <c r="E155" i="1"/>
  <c r="E142" i="1" s="1"/>
  <c r="E496" i="1"/>
  <c r="F172" i="1"/>
  <c r="D172" i="1"/>
  <c r="E543" i="1"/>
  <c r="E534" i="1" s="1"/>
  <c r="F689" i="1"/>
  <c r="F676" i="1" s="1"/>
  <c r="D676" i="1"/>
  <c r="D514" i="1"/>
  <c r="E263" i="1"/>
  <c r="E533" i="1" l="1"/>
  <c r="E490" i="1" s="1"/>
  <c r="F533" i="1"/>
  <c r="F490" i="1" s="1"/>
  <c r="D533" i="1"/>
  <c r="D490" i="1" s="1"/>
  <c r="D44" i="1"/>
  <c r="D18" i="1" s="1"/>
  <c r="E44" i="1"/>
  <c r="E18" i="1" s="1"/>
  <c r="F44" i="1"/>
  <c r="F18" i="1" s="1"/>
  <c r="D758" i="1" l="1"/>
  <c r="F758" i="1"/>
  <c r="E758" i="1"/>
</calcChain>
</file>

<file path=xl/sharedStrings.xml><?xml version="1.0" encoding="utf-8"?>
<sst xmlns="http://schemas.openxmlformats.org/spreadsheetml/2006/main" count="1588" uniqueCount="475">
  <si>
    <t xml:space="preserve">Наименование </t>
  </si>
  <si>
    <t>Вид расходов</t>
  </si>
  <si>
    <t>Субсидии бюджетным учреждениям на иные цели</t>
  </si>
  <si>
    <t>Субсидии гражданам на приобретение жилья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</si>
  <si>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</si>
  <si>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Иные выплаты персоналу государственных (муниципальных) органов, за исключением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</si>
  <si>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</si>
  <si>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</si>
  <si>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03 0 00 00000</t>
  </si>
  <si>
    <t>05 0 00 00000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</si>
  <si>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</si>
  <si>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</si>
  <si>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</si>
  <si>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</si>
  <si>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</si>
  <si>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</si>
  <si>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</si>
  <si>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13 0 00 00000</t>
  </si>
  <si>
    <t>Пособия, компенсации и иные социальные выплаты гражданам, кроме публичных нормативных обязательств</t>
  </si>
  <si>
    <t>16 0 00 00000</t>
  </si>
  <si>
    <t>Иные выплаты, за исключением фонда оплаты труда муниципальных органов, лицам привлекаемым согласно законодательству для выполнения отдельных полномочий</t>
  </si>
  <si>
    <t xml:space="preserve">Прочая закупка товаров, работ и услуг </t>
  </si>
  <si>
    <t>03 1 00 00000</t>
  </si>
  <si>
    <t>03 1 00 80100</t>
  </si>
  <si>
    <t>03 2 00 00000</t>
  </si>
  <si>
    <t>03 2 00 80100</t>
  </si>
  <si>
    <t>03 3 00 80100</t>
  </si>
  <si>
    <t>03 5 00 00000</t>
  </si>
  <si>
    <t>03 5 00 80100</t>
  </si>
  <si>
    <t>03 4 00 00000</t>
  </si>
  <si>
    <t>03 4 00 80010</t>
  </si>
  <si>
    <t>05 1 00 00000</t>
  </si>
  <si>
    <t>05 1 00 81520</t>
  </si>
  <si>
    <t>05 3 00 00000</t>
  </si>
  <si>
    <t>05 3 00 81520</t>
  </si>
  <si>
    <t>05 4 00 81520</t>
  </si>
  <si>
    <t>05 2 00 00000</t>
  </si>
  <si>
    <t>05 2 00 80520</t>
  </si>
  <si>
    <t>06 2 00 00000</t>
  </si>
  <si>
    <t>06 2 00 80420</t>
  </si>
  <si>
    <t>06 1 00 00000</t>
  </si>
  <si>
    <t>06 1 00 80430</t>
  </si>
  <si>
    <t>08 0 00 83050</t>
  </si>
  <si>
    <t>12 1 00 00000</t>
  </si>
  <si>
    <t>12 1 00 80100</t>
  </si>
  <si>
    <t>12 2 00 00000</t>
  </si>
  <si>
    <t>12 2 00 80400</t>
  </si>
  <si>
    <t>16 0 00 80480</t>
  </si>
  <si>
    <t>19 0 00 00000</t>
  </si>
  <si>
    <t>Субсидии бюджетным учреждениям</t>
  </si>
  <si>
    <t>Реализация образовательных программ</t>
  </si>
  <si>
    <t>Расходы на обеспечение деятельности подведомственных учреждений</t>
  </si>
  <si>
    <t>Подпрограмма "Развитие дошкольного образования детей"</t>
  </si>
  <si>
    <t>Мероприятия в области образования</t>
  </si>
  <si>
    <t>Подпрограмма "Развитие общего образования детей"</t>
  </si>
  <si>
    <t>Подпрограмма "Развитие дополнительного образования детей"</t>
  </si>
  <si>
    <t>03 3 00 00000</t>
  </si>
  <si>
    <t>Подпрограмма "Развитие системы отдыха и оздоровления детей"</t>
  </si>
  <si>
    <t>Подпрограмма "Совершенствование системы предоставления услуг в сфере образования"</t>
  </si>
  <si>
    <t>Мероприятия по проведению оздоровительной кампании детей (районный бюджет)</t>
  </si>
  <si>
    <t>Расходы на содержание муниципальных органов и обеспечение их функций</t>
  </si>
  <si>
    <t>Расходы на выплату персоналу государственных (муниципальных органов)</t>
  </si>
  <si>
    <t>Иные закупки товаров,работ и услуг для обеспечения государственных (муниципальных) нужд</t>
  </si>
  <si>
    <t>Расходы на выплату персоналу государственных (муниципальных) органов</t>
  </si>
  <si>
    <t>Субсидии бюджетным учреждениям на  иные цели</t>
  </si>
  <si>
    <t>244</t>
  </si>
  <si>
    <t>Мероприятия в сфере гражданской обороны и защиты населения и территорий от чрезвычайных ситуаций</t>
  </si>
  <si>
    <t>Мероприятия в сфере обеспечения пожарной безопасности, осуществляемые органами местного самоуправления</t>
  </si>
  <si>
    <t>Мероприятия в области физической культуры и спорта</t>
  </si>
  <si>
    <t>Расходы на выплаты персоналу государственных (муниципальных) органов</t>
  </si>
  <si>
    <t xml:space="preserve">Мероприятия по отдельным видам транспорта </t>
  </si>
  <si>
    <t>Реализация мероприятий по устойчивому развитию сельских территорий</t>
  </si>
  <si>
    <t>Социальные выплаты гражданам, кроме публичных нормативных социальных выплат</t>
  </si>
  <si>
    <t>Мероприятия в сфере профилактики правонарушений</t>
  </si>
  <si>
    <t>Расходы на выплату персоналу казенных учреждений</t>
  </si>
  <si>
    <t>Мероприятия в сфере культуры и искусства</t>
  </si>
  <si>
    <t xml:space="preserve">Социальные выплаты гражданам, кроме публичных нормативных социальных выплат </t>
  </si>
  <si>
    <t>Мероприятия  на развитие архивного дела</t>
  </si>
  <si>
    <t>Капитальные вложения в объекты государственной (муниципальной) собственности</t>
  </si>
  <si>
    <t>Бюджетные инвестиции</t>
  </si>
  <si>
    <t>Закупка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</si>
  <si>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</si>
  <si>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</si>
  <si>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</si>
  <si>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</si>
  <si>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03 3 01 80100</t>
  </si>
  <si>
    <t xml:space="preserve">Субсидии бюджетным учреждениям на 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</si>
  <si>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</si>
  <si>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</si>
  <si>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(гранты в форме субсидий), не подлежащие казначейскому сопровождению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</si>
  <si>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</si>
  <si>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 1 00 S6820</t>
  </si>
  <si>
    <t>Закупка энергетических ресурсов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</si>
  <si>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</si>
  <si>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03 2 00 S8330</t>
  </si>
  <si>
    <t>20 0 00 00000</t>
  </si>
  <si>
    <t>Прочая закупка товаров, работ и услуг</t>
  </si>
  <si>
    <t>05 4 00 00000</t>
  </si>
  <si>
    <t>12 1 00 S8240</t>
  </si>
  <si>
    <t>100</t>
  </si>
  <si>
    <t>110</t>
  </si>
  <si>
    <t>112</t>
  </si>
  <si>
    <t>Бюджетные инвестиции в объекты капитального строительства государственной (муниципальной) собственности</t>
  </si>
  <si>
    <t>200</t>
  </si>
  <si>
    <t>240</t>
  </si>
  <si>
    <t>04 0 00 00000</t>
  </si>
  <si>
    <t>Мероприятия в сфере охраны окружающей среды и обеспечения экологической безопасности населения</t>
  </si>
  <si>
    <t>02 0 00 00000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</si>
  <si>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</si>
  <si>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03 4 00 80450</t>
  </si>
  <si>
    <t>03 2 00 80450</t>
  </si>
  <si>
    <t>03 1 00 80450</t>
  </si>
  <si>
    <t>01 0 00 00000</t>
  </si>
  <si>
    <t>02 0 00 83210</t>
  </si>
  <si>
    <t>Муниципальная программа Плесецкого муниципального округа  «Борьба с борщевиком Сосновского»</t>
  </si>
  <si>
    <t>01 0 00 83680</t>
  </si>
  <si>
    <t>Мероприятия по повышению общего уровня благоустройства территории</t>
  </si>
  <si>
    <t>17 0 00 00000</t>
  </si>
  <si>
    <t>Муниципальная программа Плесецкого муниципального округа  «Формирование современной городской среды»</t>
  </si>
  <si>
    <t>Муниципальная программа Плесецкого муниципального округа  «Поддержка социально ориентированных некоммерческих организаций»</t>
  </si>
  <si>
    <t>22 0 00 00000</t>
  </si>
  <si>
    <t>Мероприятия по поддержке социально ориентированных некоммерческих организаций</t>
  </si>
  <si>
    <t>22 0 00 88410</t>
  </si>
  <si>
    <t>633</t>
  </si>
  <si>
    <t>II. НЕПРОГРАММНЫЕ НАПРАВЛЕНИЯ ДЕЯТЕЛЬНОСТИ</t>
  </si>
  <si>
    <t>ВСЕГО РАСХОДОВ</t>
  </si>
  <si>
    <t>Обеспечение функционирования Главы муниципального округа</t>
  </si>
  <si>
    <t>51 0 00 00000</t>
  </si>
  <si>
    <t xml:space="preserve">Обеспечение деятельности представительного органа муниципального округа </t>
  </si>
  <si>
    <t>52 0 00 00000</t>
  </si>
  <si>
    <t>Обеспечение деятельности контрольно-счетной комиссии</t>
  </si>
  <si>
    <t>53 0 00 00000</t>
  </si>
  <si>
    <t xml:space="preserve">Обеспечение деятельности исполнительных органов   муниципального округа </t>
  </si>
  <si>
    <t>54 0 00 00000</t>
  </si>
  <si>
    <t xml:space="preserve">Резервный фонд </t>
  </si>
  <si>
    <t>55 0 00 00000</t>
  </si>
  <si>
    <t>Непрограммные расходы в области мобилизационной и вневойсковой подготовки</t>
  </si>
  <si>
    <t>56 0 00  00000</t>
  </si>
  <si>
    <t>Реализация мероприятий в области управления муниципальной собственностью</t>
  </si>
  <si>
    <t>57 0 00  00000</t>
  </si>
  <si>
    <t>Доплаты к пенсиям, дополнительное пенсионное обеспечение</t>
  </si>
  <si>
    <t>58 0 00  00000</t>
  </si>
  <si>
    <t>Непрограммные расходы в области жилищно-коммунального хозяйства</t>
  </si>
  <si>
    <t>59 0 00 00000</t>
  </si>
  <si>
    <t>Непрограмные расходы в области социальной политики</t>
  </si>
  <si>
    <t>61 0 00 00000</t>
  </si>
  <si>
    <t>Материально-техническое и хозяйственное обеспечение органов местного самоуправления</t>
  </si>
  <si>
    <t>63 0 00 00000</t>
  </si>
  <si>
    <t>Прочие расходы органов местного самоуправления, связанных с общегосударственным управлением</t>
  </si>
  <si>
    <t>64 0 00 00000</t>
  </si>
  <si>
    <t>51 1 00 80010</t>
  </si>
  <si>
    <t xml:space="preserve">Фонд оплаты труда государственных (муниципальных) органов </t>
  </si>
  <si>
    <t>Председатель представительного органа муниципального образования</t>
  </si>
  <si>
    <t>52 1 00 00000</t>
  </si>
  <si>
    <t>52 1 00 80010</t>
  </si>
  <si>
    <t>Расходы на обеспечение деятельности аппарата представительного органа муниципального образования</t>
  </si>
  <si>
    <t>52 2 00 00000</t>
  </si>
  <si>
    <t>52 2 00 80010</t>
  </si>
  <si>
    <t>Иные выплаты персоналу государственных (муниципальных) органов, за исключением фонда оплаты труда</t>
  </si>
  <si>
    <t>Уплата налогов, сборов и иных платежей</t>
  </si>
  <si>
    <t>Расходы на обеспечение деятельности аппарата контрольно-счетной комиссии муниципального образования</t>
  </si>
  <si>
    <t>53 2 00 00000</t>
  </si>
  <si>
    <t>53 2 00 80010</t>
  </si>
  <si>
    <t>Председатель контрольно-счетной комиссии муниципального образования</t>
  </si>
  <si>
    <t>53 1 00 00000</t>
  </si>
  <si>
    <t>53 1 00 80010</t>
  </si>
  <si>
    <t>Расходы на обеспечение деятельности исполнительных органов местного самоуправления</t>
  </si>
  <si>
    <t>54 1 00 00000</t>
  </si>
  <si>
    <t>54 1 00 80010</t>
  </si>
  <si>
    <t xml:space="preserve">Иные бюджетные ассигнования </t>
  </si>
  <si>
    <t>Резервный фонд администрации муниципального образования</t>
  </si>
  <si>
    <t>55 0 00 81400</t>
  </si>
  <si>
    <t>Резервные средства</t>
  </si>
  <si>
    <t>870</t>
  </si>
  <si>
    <t>Оценка недвижимости, признание прав и регулирование отношений по муниципальной собственности</t>
  </si>
  <si>
    <t>57 0 00 81020</t>
  </si>
  <si>
    <t>Содержание имущества муниципальной казны</t>
  </si>
  <si>
    <t>57 0 00 81030</t>
  </si>
  <si>
    <t>Доплаты к пенсиям муниципальных  служащих и выборных должностных лиц</t>
  </si>
  <si>
    <t>58 0 00 87050</t>
  </si>
  <si>
    <t>Публичные нормативные социальные выплаты гражданам</t>
  </si>
  <si>
    <t>Иные пенсии, социальные доплаты к пенсиям</t>
  </si>
  <si>
    <t>Мероприятия в области жилищно-коммунального хозяйства</t>
  </si>
  <si>
    <t>59 0 00 83600</t>
  </si>
  <si>
    <t>Мероприятия по организации водоснабжения населения и водоотведения</t>
  </si>
  <si>
    <t>59 0 00 83610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</si>
  <si>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</si>
  <si>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</si>
  <si>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Мероприятия по организации деятельности по сбору (в том числе раздельному сбору) и транспортированию твердых коммунальных отходов</t>
  </si>
  <si>
    <t>Мероприятия по организации ритуальных услуг и содержанию мест захоронения</t>
  </si>
  <si>
    <t>Прочие выплаты по обязательствам муниципального образования</t>
  </si>
  <si>
    <t>800</t>
  </si>
  <si>
    <t>830</t>
  </si>
  <si>
    <t>831</t>
  </si>
  <si>
    <t>Обеспечение деятельности в сфере опеки и попечительства</t>
  </si>
  <si>
    <t>61 3 00 00000</t>
  </si>
  <si>
    <t>300</t>
  </si>
  <si>
    <t>320</t>
  </si>
  <si>
    <t>Приобретение товаров, работ, услуг в пользу граждан в целях их социального обеспечения</t>
  </si>
  <si>
    <t>323</t>
  </si>
  <si>
    <t>Обеспечение жилыми помещениями  детей-сирот и детей, оставшихся без попечения родителей, лиц из их числа</t>
  </si>
  <si>
    <t>61 1 00 00000</t>
  </si>
  <si>
    <t>400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</si>
  <si>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</si>
  <si>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</si>
  <si>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</si>
  <si>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</si>
  <si>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</si>
  <si>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</si>
  <si>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</si>
  <si>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</si>
  <si>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</si>
  <si>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</si>
  <si>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</si>
  <si>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65 0 00 00000</t>
  </si>
  <si>
    <t>63 0 00 80100</t>
  </si>
  <si>
    <t xml:space="preserve">Фонд оплаты труда учреждений </t>
  </si>
  <si>
    <t>111</t>
  </si>
  <si>
    <t xml:space="preserve">Иные выплаты персоналу учреждений, за исключением фонда оплаты труда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</si>
  <si>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</si>
  <si>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</si>
  <si>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Иные закупки товаров, работ и услуг для обеспечения государственных (муниципальных) нужд</t>
  </si>
  <si>
    <t>247</t>
  </si>
  <si>
    <t>850</t>
  </si>
  <si>
    <t>Муниципальная программа Плесецкого муниципального округа «Развитие системы образования»</t>
  </si>
  <si>
    <t>Муниципальная программа Плесецкого муниципального округа «Охрана окружающей среды и обеспечение экологической безопасности населения»</t>
  </si>
  <si>
    <t>Муниципальная программа Плесецкого муниципального округа «Предупреждение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безопасности, безопасности на водных объектах и развитие гражданской обороны»</t>
  </si>
  <si>
    <t>Муниципальная программа Плесецкого муниципального округа  «Развитие физической культуры и спорта и повышение эффективности реализации молодежной политики»</t>
  </si>
  <si>
    <t>Муниципальная программа Плесецкого муниципального округа  «Развитие территориального общественного самоуправления»</t>
  </si>
  <si>
    <t>Муниципальная программа Плесецкого муниципального округа  «Развитие общественного пассажирского транспорта»</t>
  </si>
  <si>
    <t>Муниципальная программа Плесецкого муниципального округа  «Развитие малого и среднего предпринимательства»</t>
  </si>
  <si>
    <t>Муниципальная программа Плесецкого муниципального округа  «Комплексное развитие сельских территорий»</t>
  </si>
  <si>
    <t>Муниципальная программа Плесецкого муниципального округа  «Профилактика правонарушений, коррупции и незаконного потребления наркотических средств и психотропных веществ, реабилитации и ресоциализации потребителей наркотических средств и психотропных веществ»</t>
  </si>
  <si>
    <t xml:space="preserve">Муниципальная программа Плесецкого муниципального округа  «Развитие сферы культуры»  </t>
  </si>
  <si>
    <t>Муниципальная программа Плесецкого муниципального округа  «Обеспечение жильем молодых семей»</t>
  </si>
  <si>
    <t>Муниципальная программа Плесецкого муниципального округа  «Развитие архивного дела»</t>
  </si>
  <si>
    <t>Муниципальная программа Плесецкого муниципального округа  «Снос аварийного жилищного фонда»</t>
  </si>
  <si>
    <t>Подпрограмма № 1 "Создание условий для обеспечения доступным и комфортным жильём сельского населения"</t>
  </si>
  <si>
    <t>10 1 00 00000</t>
  </si>
  <si>
    <t>600</t>
  </si>
  <si>
    <t>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</si>
  <si>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03 2 00 S6560</t>
  </si>
  <si>
    <t>03 2 00 S6980</t>
  </si>
  <si>
    <t>03 3 01 00000</t>
  </si>
  <si>
    <t>Подпрограмма №1 "Противодействие экстремизму и профилактика терроризма"</t>
  </si>
  <si>
    <t>Подпрограмма №2 "Противопожарная безопасность и защита населения от чрезвычайных ситуаций "</t>
  </si>
  <si>
    <t>Подпрограмма №3 "Развитие гражданской обороны"</t>
  </si>
  <si>
    <t>Подпрограмма №4 "Обеспечение безопасности и охраны жизни людей на водных объектах".</t>
  </si>
  <si>
    <t>Подпрограмма "Развитие физической культуры и спорта "</t>
  </si>
  <si>
    <t>Подпрограмма "Молодежь Плесецкого муниципального округа"</t>
  </si>
  <si>
    <t>Подпрограмма "Организация досуга населения"</t>
  </si>
  <si>
    <t>Подпрограмма "Библиотечное обслуживание населения"</t>
  </si>
  <si>
    <t>14 0 00 00000</t>
  </si>
  <si>
    <t>Муниципальная программа Плесецкого муниципального округа  «Профилактика безнадзорности и правонарушений несовершеннолетних и защита их прав»</t>
  </si>
  <si>
    <t>14 0 00 80500</t>
  </si>
  <si>
    <t>Муниципальная программа Плесецкого муниципального округа  «Улучшение условий и охраны труда»</t>
  </si>
  <si>
    <t>Мероприятия в сфере патриотического воспитания граждан и государственной молодежной политики</t>
  </si>
  <si>
    <t>15 0 00 80420</t>
  </si>
  <si>
    <t>15 0 00 00000</t>
  </si>
  <si>
    <t>04 0 00 80740</t>
  </si>
  <si>
    <t>04 0 00 83620</t>
  </si>
  <si>
    <t>Мероприятия по организации уличного освещения</t>
  </si>
  <si>
    <t>04 0 00 83630</t>
  </si>
  <si>
    <t>Мероприятия по повышению общего уровня благоустройства территорий</t>
  </si>
  <si>
    <t>04 0 00 83680</t>
  </si>
  <si>
    <t>04 0 00 83670</t>
  </si>
  <si>
    <t>12 2 00 80100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</si>
  <si>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</si>
  <si>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12 2 00 L4670</t>
  </si>
  <si>
    <t>12 2 00 S8240</t>
  </si>
  <si>
    <t>12 4 00 00000</t>
  </si>
  <si>
    <t>12 4 00 80540</t>
  </si>
  <si>
    <t>Мероприятия в области социальной политики, осуществляемые муниципальными органами</t>
  </si>
  <si>
    <t>Подпрограмма "Совершенствование  системы предоставления услуг в сфере культуры и туризма  "</t>
  </si>
  <si>
    <t>18 0 00 00000</t>
  </si>
  <si>
    <t>Подпрограмма №1 "Профилактика правонарушений на территории Плесецкого муниципального округа"</t>
  </si>
  <si>
    <t>11 1 00 00000</t>
  </si>
  <si>
    <t>11 1 00 80500</t>
  </si>
  <si>
    <t>Муниципальная программа Плесецкого муниципального округа "Переселение граждан из аварийного жилищного фонда на 2020-2025 годы"</t>
  </si>
  <si>
    <t xml:space="preserve">Муниципальная программа Плесецкого муниципального округа «Повышение безопасности дорожного движения и формирование законопослушного поведения участников дорожного движения»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</si>
  <si>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</si>
  <si>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Мероприятия по землеустройству и землепользованию</t>
  </si>
  <si>
    <t>Взносы на капитальный ремонт по муниципальному жилищному фонду</t>
  </si>
  <si>
    <t>Прочие расходы по муниципальному жилищному фонду</t>
  </si>
  <si>
    <t>59 0 00 83650</t>
  </si>
  <si>
    <t>59 0 00 83690</t>
  </si>
  <si>
    <t>Уплата членского взноса в ассоциацию "Совет муниципальных образований Архангельской области"</t>
  </si>
  <si>
    <t>64 0 00 81120</t>
  </si>
  <si>
    <t>Непрограммные расходы в области национальной безопасности и правоохранительной деятельности</t>
  </si>
  <si>
    <t>Обеспечение функционирования единой диспетчерской службы для обеспечения вызова экстренных оперативных служб по единому номеру</t>
  </si>
  <si>
    <t>65 1 00 00000</t>
  </si>
  <si>
    <t>65 1 00 80100</t>
  </si>
  <si>
    <t>Условно утвержденные расходы</t>
  </si>
  <si>
    <t>к решению собрания депутатов</t>
  </si>
  <si>
    <t>Плесецкого муниципального округа Архангельской области</t>
  </si>
  <si>
    <t>Сумма, рублей</t>
  </si>
  <si>
    <t>2025 год</t>
  </si>
  <si>
    <t>Публичные нормативные выплаты гражданам несоциального характера</t>
  </si>
  <si>
    <t>64 0 00 81140</t>
  </si>
  <si>
    <t>330</t>
  </si>
  <si>
    <t>59 0 00 83661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</si>
  <si>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</si>
  <si>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19 0 00 80310</t>
  </si>
  <si>
    <t>Муниципальная программа Плесецкого муниципального округа "Чистая вода"</t>
  </si>
  <si>
    <t>17 0 00 83680</t>
  </si>
  <si>
    <t>Муниципальная программа Плесецкого муниципального округа  «Управление муниципальными финансами и муниципальным долгом»</t>
  </si>
  <si>
    <t>24 0 00 00000</t>
  </si>
  <si>
    <t xml:space="preserve"> Приложение № 5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</si>
  <si>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</si>
  <si>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12 1 00 L5198</t>
  </si>
  <si>
    <t>Муниципальная программа Плесецкого муниципального округа "Проведение комплексных кадастровых работ"</t>
  </si>
  <si>
    <t>25 0 00 00000</t>
  </si>
  <si>
    <t>25 0 00 82040</t>
  </si>
  <si>
    <t xml:space="preserve">25 0 00 82040 </t>
  </si>
  <si>
    <t>24 2 00 81750</t>
  </si>
  <si>
    <t>Подпрограмма №2«Управление муниципальным долгом Плесецкого муниципального округа»</t>
  </si>
  <si>
    <t>24 2 00 00000</t>
  </si>
  <si>
    <t>Подпрограмма №1"Организация и обеспечение бюджетного процесса в Плесецком муниципальном округе"</t>
  </si>
  <si>
    <t>24 1 00 00000</t>
  </si>
  <si>
    <t>24 1 00 80010</t>
  </si>
  <si>
    <t>24 1 00 80020</t>
  </si>
  <si>
    <t>2026 год</t>
  </si>
  <si>
    <t>03 1 00 Л8390</t>
  </si>
  <si>
    <t>03 1 00 Л8620</t>
  </si>
  <si>
    <t>Субвенции бюджетам муниципальных районов, муниципальных округов и городских округов Архангельской области на реализацию образовательных программ</t>
  </si>
  <si>
    <t>03 1 00 Л8650</t>
  </si>
  <si>
    <t>03 2 00 Л8390</t>
  </si>
  <si>
    <t>03 2 00 Л8620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</si>
  <si>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</si>
  <si>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03 2 00 S6960</t>
  </si>
  <si>
    <t>610</t>
  </si>
  <si>
    <t>612</t>
  </si>
  <si>
    <t>03 3 00 Л8390</t>
  </si>
  <si>
    <t>03 3 00 Л8620</t>
  </si>
  <si>
    <t>03 3 01 Л8620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</si>
  <si>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</si>
  <si>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54 1 00 Л8790</t>
  </si>
  <si>
    <t>54 1 00 Л8791</t>
  </si>
  <si>
    <t>54 1 00 Л8793</t>
  </si>
  <si>
    <t>56 0 00 51181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</si>
  <si>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</si>
  <si>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</si>
  <si>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</si>
  <si>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03 5 00 Л8320</t>
  </si>
  <si>
    <t>Закупка товаров, работ, услуг в целях капитального
ремонта государственного (муниципального) имущества</t>
  </si>
  <si>
    <t>243</t>
  </si>
  <si>
    <t>08 0 00 83051</t>
  </si>
  <si>
    <t>09 0  00 Л8700</t>
  </si>
  <si>
    <t>61 1 00 R0821</t>
  </si>
  <si>
    <t>61 1 00 Л8770</t>
  </si>
  <si>
    <t>61 3 00 Л8730</t>
  </si>
  <si>
    <t>Выплаты гражданам в соответствии с решением Собрания депутатов Плесецкого муниципального округа Архангельской области от 15.11.2022 года №-122 "Об утверждении Положения о Почетном гражданине Плесецкого муниципального округа Архангельской области, Положения о порядке присвоения звания "Почетный гражданин Плесецкого муниципального округа Архангельской области" и Положения о знаках отличия к званию "Почетный гражданин Плесецкого муниципального округа Архангельской области" (в части исполнения публичных нормативных обязательств)</t>
  </si>
  <si>
    <t>414</t>
  </si>
  <si>
    <t>15 0 00 Л8710</t>
  </si>
  <si>
    <t>16 0 00 80100</t>
  </si>
  <si>
    <t xml:space="preserve">I. МУНИЦИПАЛЬНЫЕ ПРОГРАММЫ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</si>
  <si>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</si>
  <si>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</si>
  <si>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</si>
  <si>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</si>
  <si>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</si>
  <si>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 xml:space="preserve">Единая субвенция 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</si>
  <si>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</si>
  <si>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</si>
  <si>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54 1 00 51201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</si>
  <si>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</si>
  <si>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государственных полномочий по выплате вознаграждений профессиональным опекунам</t>
  </si>
  <si>
    <t>Реализация инициативных проектов в рамках регионального проекта "Комфортное Поморье"</t>
  </si>
  <si>
    <t>67 0 00 00000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</si>
  <si>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</si>
  <si>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54 1 00 Л8690</t>
  </si>
  <si>
    <t>03 5 00 R4941</t>
  </si>
  <si>
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организация отдыха детей и их оздоровления</t>
  </si>
  <si>
    <t>60 0 00 00000</t>
  </si>
  <si>
    <t>60 0 00 80020</t>
  </si>
  <si>
    <t>Расходы на исполнение судебных актов по обращению взыскания на средства  бюджета муниципального образования</t>
  </si>
  <si>
    <t>13 0 00 L4971</t>
  </si>
  <si>
    <t>59 0 00 83693</t>
  </si>
  <si>
    <t>59 0 00 83692</t>
  </si>
  <si>
    <t>10 1 00L576Л</t>
  </si>
  <si>
    <t>Реализация мероприятий по обеспечению жильем молодых семей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</si>
  <si>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</si>
  <si>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</si>
  <si>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Бюджетные инвестиции в объекты капитального строительства собственности муниципальных образований</t>
  </si>
  <si>
    <t>Прочие расходы в области коммунального хозяйства</t>
  </si>
  <si>
    <t xml:space="preserve">Закупка энергетических ресурсов </t>
  </si>
  <si>
    <t>06 2 00 S6910</t>
  </si>
  <si>
    <t>Реализация мероприятий по содействию трудоустройству несовершеннолетних граждан на территории Архангельской области</t>
  </si>
  <si>
    <t>Закупка товаров, работ и услуг в целях капитального ремонта государственного (муниципального) имущества</t>
  </si>
  <si>
    <t>Целевая статья</t>
  </si>
  <si>
    <t>08 0 00 83053</t>
  </si>
  <si>
    <t>2027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</si>
  <si>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Плесецкого муниципального округа  на 2025 год и на плановый период 2026 и 2027 годов</t>
  </si>
  <si>
    <t>Cодержание  автомобильных дорог (дорожный фонд Плесецкого муниципального округа)</t>
  </si>
  <si>
    <t>02 0 00 83220</t>
  </si>
  <si>
    <t>Ремонт  автомобильных дорог (дорожный фонд Плесецкого муниципального округа)</t>
  </si>
  <si>
    <t>Мероприятия в рамках Федерального проекта «Педагоги и наставники»</t>
  </si>
  <si>
    <t>03 2 Ю6 00000</t>
  </si>
  <si>
    <t>03 2 Ю6 53032</t>
  </si>
  <si>
    <t>03 2 Ю6 51792</t>
  </si>
  <si>
    <t>03 2 00 80310</t>
  </si>
  <si>
    <t>19 0 00 83650</t>
  </si>
  <si>
    <t>27 0 00 00000</t>
  </si>
  <si>
    <t>Муниципальная программа Плесецкого муниципального округа Архангельской области "Модернизация систем коммунальной инфраструктуры (2023-2027 годы)"</t>
  </si>
  <si>
    <t>27 0 00 83610</t>
  </si>
  <si>
    <t>59 0 00 83641</t>
  </si>
  <si>
    <t>59 0 00 83642</t>
  </si>
  <si>
    <t>Прочие расходы по незаселенному муниципальному жилищному фонду</t>
  </si>
  <si>
    <t>Затраты на обследование и инвентаризацию жилищного фонда</t>
  </si>
  <si>
    <t>Возмещение убытков, связанных с оказанием банных услуг по тарифам, не обеспечивающим возмещение издержек (нераспределенные средства)</t>
  </si>
  <si>
    <t>59 0 00 83691</t>
  </si>
  <si>
    <t xml:space="preserve">Осуществление государственных полномочий по  организации и осуществлению деятельности по опеке и попечительству </t>
  </si>
  <si>
    <t>61 3 00 Л8660</t>
  </si>
  <si>
    <t>Возмещение убытков ООО "Трест Техносервис", связанных с оказанием банных услуг на территории пос.Обозерский по тарифам, не обеспечивающим возмещение издержек в 2025 году</t>
  </si>
  <si>
    <t>Возмещение убытков МУП "Плесецк-Ресурс", связанных с оказанием банных услуг на территории пос.Плесецк по тарифам, не обеспечивающим возмещение издержек в 2025 году</t>
  </si>
  <si>
    <t>Возмещение индивидуальному предпринимателю  Минту Алексею Петровичу убытков, возникающих в результате регулирования тарифов на перевозку пассажиров по технологической узкоколейной железной дороге «Липаково-Лужма-Сеза» в 2025 году</t>
  </si>
  <si>
    <t>12 4 00 80010</t>
  </si>
  <si>
    <t>12 2 00 80310</t>
  </si>
  <si>
    <t>Возмещение МУП "АТП "Плесецкое" фактически понесенных затрат на обеспечение бесплатного проезда в автомобильном транспорте общего пользования по городскому муниципальному маршруту гражданам, проживающим на территории Плесецкого муниципального округа и достигшим возраста 75 лет и старше, не относящимся к отдельным категориям граждан, установленным статьями 2 и 4 Федерального закона от 12.01.1995 №5-ФЗ "О ветеранах" в 2025 году</t>
  </si>
  <si>
    <t>02 0 00 9Д090</t>
  </si>
  <si>
    <t>02 0 00 9Д020</t>
  </si>
  <si>
    <t>02 0 00 9Д010</t>
  </si>
  <si>
    <t>Ремонт автомобильных дорог (дорожный фонд Плесецкого муниципального округа)</t>
  </si>
  <si>
    <t>Содержание автомобильных дорог (дорожный фонд Плесецкого муниципального округа)</t>
  </si>
  <si>
    <t>Зарезервированные средства на дорожную деятельность</t>
  </si>
  <si>
    <t>04 0 00 10840</t>
  </si>
  <si>
    <t>Организация и содержание мест захоронения</t>
  </si>
  <si>
    <t>59 0 00 97040</t>
  </si>
  <si>
    <t>Закупка товаров, работ, услуг в целях капитального</t>
  </si>
  <si>
    <t>Реализация мероприятий по модернизации школьных систем образования</t>
  </si>
  <si>
    <t>Мероприятия в рамках Федерального проекта "Все лучшее детям"</t>
  </si>
  <si>
    <t>03 2 Ю4 57502</t>
  </si>
  <si>
    <t>03 2 Ю4 00000</t>
  </si>
  <si>
    <t>03 2 00 R3043</t>
  </si>
  <si>
    <t>03 2 Ю6 50502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</si>
  <si>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</si>
  <si>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03 5 00 84941</t>
  </si>
  <si>
    <t xml:space="preserve"> "Приложение № 5</t>
  </si>
  <si>
    <t>от  17  декабря 2024 года № 241"</t>
  </si>
  <si>
    <t>03 0 00 84941</t>
  </si>
  <si>
    <t>11 2 00 80510</t>
  </si>
  <si>
    <t>11 2 00 00000</t>
  </si>
  <si>
    <t>Подпрограмма №2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на территории Плесецкого муниципального округа"</t>
  </si>
  <si>
    <t>27 0 И3 51541</t>
  </si>
  <si>
    <t>27 0 И3 00000</t>
  </si>
  <si>
    <t>Реализация мероприятий по модернизации коммунальной инфраструктуры</t>
  </si>
  <si>
    <t>Мероприятия в рамках Федерального проекта "Модернизация коммунальной инфраструктуры"</t>
  </si>
  <si>
    <t>03 5 00 L4941</t>
  </si>
  <si>
    <t>03 2 00 L3043</t>
  </si>
  <si>
    <t>03 1 00 Э4660</t>
  </si>
  <si>
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</si>
  <si>
    <t>03 2 00 Э4660</t>
  </si>
  <si>
    <t>17 0 И4 55551</t>
  </si>
  <si>
    <t>17 0 И4 00000</t>
  </si>
  <si>
    <t>Мероприятия в рамках Федерального проекта "Формирование комфортной городской среды"</t>
  </si>
  <si>
    <t>55 0 00 71400</t>
  </si>
  <si>
    <t>Резервный фонд Правительства Архангельской области</t>
  </si>
  <si>
    <t>08 0 00 S9170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</si>
  <si>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</si>
  <si>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67 0 00 Э8890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</si>
  <si>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</si>
  <si>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Мероприятия в сфере общественного пассажирского транспорта и транспортной инфраструктуры (содержание, ремонт, капитальный ремонт инфраструктуры технологической узкоколейной железной дороги "Липаково- Лужма- Сеза" Плесецкого муниципального округа Архангельской области, включая ремонт и капитальный ремонт подвижного состава)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</si>
  <si>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</si>
  <si>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</si>
  <si>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</si>
  <si>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Осуществление государственных полномочий по предоставлению жилых помещений специализированного жилищного фонда детям-сиротам и детям, оставшимся без попечения родителей, лицам из числа детей-сирот и детей, оставшихся без попечения родителей, за счет средств областного бюджета</t>
  </si>
  <si>
    <t>Модернизация (строительство) котельных на твердом биотопливе, источником финансового обеспечения которых является специальный казначейский кредит</t>
  </si>
  <si>
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 (местный бюджет)</t>
  </si>
  <si>
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</si>
  <si>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Реализация программ формирования современной городской среды</t>
  </si>
  <si>
    <t>67 0 00 88890</t>
  </si>
  <si>
    <t>Софинансирование к иным межбюджетным трансфертам на реализацию инициативных проектов</t>
  </si>
  <si>
    <t>67 0 00 S8890</t>
  </si>
  <si>
    <t>Реализация инициативных проектов в рамках регионального проекта "Комфортное Поморье" (средства местного бюджета)</t>
  </si>
  <si>
    <t>от 29 апреля 2025 года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</si>
</sst>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_);_(* \(#,##0.0\);_(* &quot;-&quot;??_);_(@_)"/>
    <numFmt numFmtId="166" formatCode="_(* #,##0_);_(* \(#,##0\);_(* &quot;-&quot;??_);_(@_)"/>
    <numFmt numFmtId="167" formatCode="_(* #,##0.00_);_(* \(#,##0.00\);_(* &quot;-&quot;??_);_(@_)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"/>
      <name val="Arial"/>
      <family val="2"/>
      <charset val="204"/>
    </font>
    <font>
      <sz val="10"/>
      <name val="Times New Roman Cy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/>
    <xf numFmtId="0" fontId="5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/>
    <xf numFmtId="0" fontId="8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5" fillId="4" borderId="0" xfId="0" applyFont="1" applyFill="1"/>
    <xf numFmtId="0" fontId="8" fillId="4" borderId="0" xfId="0" applyFont="1" applyFill="1" applyAlignment="1">
      <alignment vertical="center"/>
    </xf>
    <xf numFmtId="0" fontId="12" fillId="4" borderId="0" xfId="0" applyFont="1" applyFill="1"/>
    <xf numFmtId="0" fontId="5" fillId="3" borderId="0" xfId="0" applyFont="1" applyFill="1" applyAlignment="1">
      <alignment horizontal="center" vertical="center"/>
    </xf>
    <xf numFmtId="164" fontId="5" fillId="3" borderId="0" xfId="0" applyNumberFormat="1" applyFont="1" applyFill="1" applyAlignment="1">
      <alignment vertical="center"/>
    </xf>
    <xf numFmtId="164" fontId="5" fillId="3" borderId="10" xfId="2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49" fontId="5" fillId="0" borderId="0" xfId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49" fontId="5" fillId="0" borderId="0" xfId="1" applyNumberFormat="1" applyFont="1" applyFill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64" fontId="5" fillId="0" borderId="5" xfId="0" applyNumberFormat="1" applyFont="1" applyFill="1" applyBorder="1" applyAlignment="1">
      <alignment horizontal="center" vertical="center" wrapText="1"/>
    </xf>
    <xf numFmtId="0" fontId="5" fillId="4" borderId="0" xfId="1" applyFont="1" applyFill="1" applyAlignment="1">
      <alignment horizontal="right" vertical="center"/>
    </xf>
    <xf numFmtId="164" fontId="5" fillId="4" borderId="0" xfId="0" applyNumberFormat="1" applyFont="1" applyFill="1" applyAlignment="1">
      <alignment horizontal="right" vertical="center"/>
    </xf>
    <xf numFmtId="0" fontId="5" fillId="4" borderId="5" xfId="0" applyFont="1" applyFill="1" applyBorder="1" applyAlignment="1">
      <alignment horizontal="justify" vertical="center" wrapText="1"/>
    </xf>
    <xf numFmtId="165" fontId="5" fillId="4" borderId="1" xfId="2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5" fillId="4" borderId="11" xfId="2" applyFont="1" applyFill="1" applyBorder="1" applyAlignment="1">
      <alignment vertical="center"/>
    </xf>
    <xf numFmtId="0" fontId="5" fillId="4" borderId="2" xfId="0" applyFont="1" applyFill="1" applyBorder="1" applyAlignment="1">
      <alignment horizontal="justify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2" xfId="0" quotePrefix="1" applyNumberFormat="1" applyFont="1" applyFill="1" applyBorder="1" applyAlignment="1">
      <alignment horizontal="center" vertical="center"/>
    </xf>
    <xf numFmtId="164" fontId="5" fillId="4" borderId="10" xfId="2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164" fontId="5" fillId="4" borderId="0" xfId="0" applyNumberFormat="1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164" fontId="3" fillId="4" borderId="0" xfId="0" applyNumberFormat="1" applyFont="1" applyFill="1" applyAlignment="1">
      <alignment vertical="center"/>
    </xf>
    <xf numFmtId="164" fontId="5" fillId="4" borderId="1" xfId="2" applyFont="1" applyFill="1" applyBorder="1" applyAlignment="1">
      <alignment vertical="center"/>
    </xf>
    <xf numFmtId="0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justify" vertical="center"/>
    </xf>
    <xf numFmtId="4" fontId="14" fillId="4" borderId="1" xfId="0" applyNumberFormat="1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/>
    </xf>
    <xf numFmtId="164" fontId="8" fillId="4" borderId="1" xfId="2" applyFont="1" applyFill="1" applyBorder="1" applyAlignment="1">
      <alignment vertical="center"/>
    </xf>
    <xf numFmtId="0" fontId="9" fillId="4" borderId="6" xfId="0" applyFont="1" applyFill="1" applyBorder="1" applyAlignment="1">
      <alignment horizontal="left" vertical="center" wrapText="1"/>
    </xf>
    <xf numFmtId="165" fontId="9" fillId="4" borderId="1" xfId="2" applyNumberFormat="1" applyFont="1" applyFill="1" applyBorder="1" applyAlignment="1">
      <alignment horizontal="center" vertical="center"/>
    </xf>
    <xf numFmtId="165" fontId="6" fillId="4" borderId="1" xfId="2" applyNumberFormat="1" applyFont="1" applyFill="1" applyBorder="1" applyAlignment="1">
      <alignment horizontal="center" vertical="center"/>
    </xf>
    <xf numFmtId="164" fontId="9" fillId="4" borderId="1" xfId="2" applyFont="1" applyFill="1" applyBorder="1" applyAlignment="1">
      <alignment vertical="center"/>
    </xf>
    <xf numFmtId="0" fontId="5" fillId="4" borderId="1" xfId="0" applyFont="1" applyFill="1" applyBorder="1" applyAlignment="1">
      <alignment horizontal="justify"/>
    </xf>
    <xf numFmtId="49" fontId="5" fillId="4" borderId="4" xfId="0" applyNumberFormat="1" applyFont="1" applyFill="1" applyBorder="1" applyAlignment="1">
      <alignment horizontal="center" vertical="center"/>
    </xf>
    <xf numFmtId="0" fontId="5" fillId="4" borderId="1" xfId="0" quotePrefix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justify"/>
    </xf>
    <xf numFmtId="49" fontId="5" fillId="4" borderId="1" xfId="0" applyNumberFormat="1" applyFont="1" applyFill="1" applyBorder="1" applyAlignment="1">
      <alignment horizontal="center" vertical="center"/>
    </xf>
    <xf numFmtId="167" fontId="5" fillId="4" borderId="10" xfId="2" applyNumberFormat="1" applyFont="1" applyFill="1" applyBorder="1" applyAlignment="1">
      <alignment vertical="center"/>
    </xf>
    <xf numFmtId="167" fontId="5" fillId="4" borderId="10" xfId="2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vertical="center" wrapText="1"/>
    </xf>
    <xf numFmtId="165" fontId="8" fillId="4" borderId="1" xfId="2" applyNumberFormat="1" applyFont="1" applyFill="1" applyBorder="1" applyAlignment="1">
      <alignment horizontal="center" vertical="center"/>
    </xf>
    <xf numFmtId="166" fontId="8" fillId="4" borderId="1" xfId="2" quotePrefix="1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justify" vertical="center"/>
    </xf>
    <xf numFmtId="166" fontId="5" fillId="4" borderId="1" xfId="2" quotePrefix="1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49" fontId="5" fillId="4" borderId="8" xfId="0" applyNumberFormat="1" applyFont="1" applyFill="1" applyBorder="1" applyAlignment="1">
      <alignment vertical="center" wrapText="1"/>
    </xf>
    <xf numFmtId="0" fontId="8" fillId="4" borderId="5" xfId="0" applyFont="1" applyFill="1" applyBorder="1" applyAlignment="1">
      <alignment horizontal="justify" vertical="center"/>
    </xf>
    <xf numFmtId="49" fontId="5" fillId="4" borderId="7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vertical="center" wrapText="1"/>
    </xf>
    <xf numFmtId="0" fontId="5" fillId="4" borderId="1" xfId="2" quotePrefix="1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justify" vertical="center"/>
    </xf>
    <xf numFmtId="0" fontId="5" fillId="4" borderId="1" xfId="0" applyFont="1" applyFill="1" applyBorder="1" applyAlignment="1">
      <alignment horizontal="justify" vertical="center" wrapText="1"/>
    </xf>
    <xf numFmtId="0" fontId="5" fillId="4" borderId="5" xfId="0" applyFont="1" applyFill="1" applyBorder="1" applyAlignment="1">
      <alignment horizontal="justify"/>
    </xf>
    <xf numFmtId="0" fontId="5" fillId="4" borderId="2" xfId="0" applyFont="1" applyFill="1" applyBorder="1" applyAlignment="1">
      <alignment horizontal="justify" vertical="center" wrapText="1"/>
    </xf>
    <xf numFmtId="165" fontId="5" fillId="4" borderId="7" xfId="2" applyNumberFormat="1" applyFont="1" applyFill="1" applyBorder="1" applyAlignment="1">
      <alignment horizontal="center" vertical="center"/>
    </xf>
    <xf numFmtId="0" fontId="5" fillId="4" borderId="1" xfId="0" quotePrefix="1" applyFont="1" applyFill="1" applyBorder="1" applyAlignment="1">
      <alignment horizontal="center"/>
    </xf>
    <xf numFmtId="0" fontId="4" fillId="4" borderId="5" xfId="0" applyFont="1" applyFill="1" applyBorder="1" applyAlignment="1">
      <alignment horizontal="justify"/>
    </xf>
    <xf numFmtId="0" fontId="4" fillId="4" borderId="7" xfId="0" applyFont="1" applyFill="1" applyBorder="1" applyAlignment="1">
      <alignment horizontal="center"/>
    </xf>
    <xf numFmtId="0" fontId="4" fillId="4" borderId="1" xfId="0" quotePrefix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quotePrefix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1" xfId="2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left" vertical="center" wrapText="1"/>
    </xf>
    <xf numFmtId="165" fontId="5" fillId="4" borderId="5" xfId="2" applyNumberFormat="1" applyFont="1" applyFill="1" applyBorder="1" applyAlignment="1">
      <alignment horizontal="center" vertical="center"/>
    </xf>
    <xf numFmtId="49" fontId="5" fillId="4" borderId="5" xfId="2" applyNumberFormat="1" applyFont="1" applyFill="1" applyBorder="1" applyAlignment="1">
      <alignment horizontal="center" vertical="center"/>
    </xf>
    <xf numFmtId="0" fontId="5" fillId="4" borderId="5" xfId="0" quotePrefix="1" applyFont="1" applyFill="1" applyBorder="1" applyAlignment="1">
      <alignment horizontal="center" vertical="center"/>
    </xf>
    <xf numFmtId="0" fontId="5" fillId="4" borderId="2" xfId="0" quotePrefix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justify" vertical="center"/>
    </xf>
    <xf numFmtId="0" fontId="5" fillId="4" borderId="5" xfId="0" quotePrefix="1" applyNumberFormat="1" applyFont="1" applyFill="1" applyBorder="1" applyAlignment="1">
      <alignment horizontal="center" vertical="center"/>
    </xf>
    <xf numFmtId="0" fontId="6" fillId="4" borderId="1" xfId="2" applyNumberFormat="1" applyFont="1" applyFill="1" applyBorder="1" applyAlignment="1">
      <alignment horizontal="center" vertical="center"/>
    </xf>
    <xf numFmtId="0" fontId="8" fillId="4" borderId="2" xfId="2" applyNumberFormat="1" applyFont="1" applyFill="1" applyBorder="1" applyAlignment="1">
      <alignment horizontal="justify" vertical="center" wrapText="1"/>
    </xf>
    <xf numFmtId="164" fontId="8" fillId="4" borderId="2" xfId="2" applyFont="1" applyFill="1" applyBorder="1" applyAlignment="1">
      <alignment horizontal="center" vertical="center"/>
    </xf>
    <xf numFmtId="0" fontId="8" fillId="4" borderId="1" xfId="2" quotePrefix="1" applyNumberFormat="1" applyFont="1" applyFill="1" applyBorder="1" applyAlignment="1">
      <alignment horizontal="center" vertical="center"/>
    </xf>
    <xf numFmtId="0" fontId="5" fillId="4" borderId="2" xfId="2" applyNumberFormat="1" applyFont="1" applyFill="1" applyBorder="1" applyAlignment="1">
      <alignment horizontal="justify" vertical="center" wrapText="1"/>
    </xf>
    <xf numFmtId="164" fontId="5" fillId="4" borderId="2" xfId="2" applyFont="1" applyFill="1" applyBorder="1" applyAlignment="1">
      <alignment horizontal="center" vertical="center"/>
    </xf>
    <xf numFmtId="164" fontId="8" fillId="4" borderId="10" xfId="2" applyFont="1" applyFill="1" applyBorder="1" applyAlignment="1">
      <alignment vertical="center"/>
    </xf>
    <xf numFmtId="0" fontId="5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wrapText="1"/>
    </xf>
    <xf numFmtId="0" fontId="5" fillId="4" borderId="5" xfId="0" applyFont="1" applyFill="1" applyBorder="1" applyAlignment="1">
      <alignment vertical="center" wrapText="1"/>
    </xf>
    <xf numFmtId="164" fontId="5" fillId="4" borderId="2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justify" vertical="center" wrapText="1"/>
    </xf>
    <xf numFmtId="164" fontId="8" fillId="4" borderId="1" xfId="2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justify" vertical="center"/>
    </xf>
    <xf numFmtId="164" fontId="8" fillId="4" borderId="2" xfId="0" applyNumberFormat="1" applyFont="1" applyFill="1" applyBorder="1" applyAlignment="1">
      <alignment horizontal="center" vertical="center"/>
    </xf>
    <xf numFmtId="164" fontId="5" fillId="4" borderId="1" xfId="2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justify" wrapText="1"/>
    </xf>
    <xf numFmtId="0" fontId="5" fillId="4" borderId="1" xfId="2" applyNumberFormat="1" applyFont="1" applyFill="1" applyBorder="1" applyAlignment="1">
      <alignment horizontal="justify" wrapText="1"/>
    </xf>
    <xf numFmtId="0" fontId="5" fillId="4" borderId="2" xfId="2" applyNumberFormat="1" applyFont="1" applyFill="1" applyBorder="1" applyAlignment="1">
      <alignment horizontal="justify" wrapText="1"/>
    </xf>
    <xf numFmtId="0" fontId="5" fillId="4" borderId="1" xfId="0" quotePrefix="1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/>
    </xf>
    <xf numFmtId="0" fontId="5" fillId="4" borderId="1" xfId="0" applyNumberFormat="1" applyFont="1" applyFill="1" applyBorder="1" applyAlignment="1">
      <alignment horizontal="center"/>
    </xf>
    <xf numFmtId="0" fontId="8" fillId="4" borderId="2" xfId="0" applyFont="1" applyFill="1" applyBorder="1" applyAlignment="1">
      <alignment horizontal="justify" vertical="center"/>
    </xf>
    <xf numFmtId="0" fontId="6" fillId="4" borderId="1" xfId="0" applyFont="1" applyFill="1" applyBorder="1" applyAlignment="1">
      <alignment horizontal="justify" vertical="center" wrapText="1"/>
    </xf>
    <xf numFmtId="164" fontId="5" fillId="4" borderId="12" xfId="2" applyFont="1" applyFill="1" applyBorder="1" applyAlignment="1">
      <alignment vertical="center"/>
    </xf>
    <xf numFmtId="0" fontId="6" fillId="4" borderId="2" xfId="0" applyFont="1" applyFill="1" applyBorder="1" applyAlignment="1">
      <alignment horizontal="justify" vertical="center"/>
    </xf>
    <xf numFmtId="49" fontId="5" fillId="4" borderId="1" xfId="2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/>
    <xf numFmtId="0" fontId="5" fillId="4" borderId="1" xfId="2" applyNumberFormat="1" applyFont="1" applyFill="1" applyBorder="1" applyAlignment="1">
      <alignment horizontal="center" vertical="center"/>
    </xf>
    <xf numFmtId="0" fontId="5" fillId="4" borderId="2" xfId="2" applyNumberFormat="1" applyFont="1" applyFill="1" applyBorder="1" applyAlignment="1">
      <alignment horizontal="center" vertical="center"/>
    </xf>
    <xf numFmtId="49" fontId="11" fillId="4" borderId="7" xfId="0" applyNumberFormat="1" applyFont="1" applyFill="1" applyBorder="1" applyAlignment="1">
      <alignment horizontal="center" vertical="center"/>
    </xf>
    <xf numFmtId="0" fontId="11" fillId="4" borderId="1" xfId="0" applyNumberFormat="1" applyFont="1" applyFill="1" applyBorder="1" applyAlignment="1">
      <alignment horizontal="center" vertical="center"/>
    </xf>
    <xf numFmtId="0" fontId="11" fillId="4" borderId="1" xfId="0" quotePrefix="1" applyNumberFormat="1" applyFont="1" applyFill="1" applyBorder="1" applyAlignment="1">
      <alignment horizontal="center" vertical="center"/>
    </xf>
    <xf numFmtId="0" fontId="5" fillId="4" borderId="7" xfId="2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/>
    </xf>
    <xf numFmtId="0" fontId="6" fillId="4" borderId="9" xfId="0" applyNumberFormat="1" applyFont="1" applyFill="1" applyBorder="1"/>
    <xf numFmtId="164" fontId="9" fillId="4" borderId="5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6" fillId="4" borderId="1" xfId="0" applyNumberFormat="1" applyFont="1" applyFill="1" applyBorder="1"/>
    <xf numFmtId="0" fontId="5" fillId="4" borderId="2" xfId="0" applyNumberFormat="1" applyFont="1" applyFill="1" applyBorder="1" applyAlignment="1">
      <alignment horizontal="center" vertical="center"/>
    </xf>
    <xf numFmtId="164" fontId="5" fillId="4" borderId="10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justify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vertical="center"/>
    </xf>
    <xf numFmtId="0" fontId="5" fillId="4" borderId="0" xfId="0" applyNumberFormat="1" applyFont="1" applyFill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 wrapText="1"/>
    </xf>
    <xf numFmtId="0" fontId="5" fillId="4" borderId="1" xfId="2" applyNumberFormat="1" applyFont="1" applyFill="1" applyBorder="1" applyAlignment="1">
      <alignment horizontal="justify" vertical="center" wrapText="1"/>
    </xf>
    <xf numFmtId="164" fontId="5" fillId="4" borderId="10" xfId="2" applyNumberFormat="1" applyFont="1" applyFill="1" applyBorder="1" applyAlignment="1">
      <alignment horizontal="right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5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2" xfId="0" applyNumberFormat="1" applyFont="1" applyFill="1" applyBorder="1" applyAlignment="1">
      <alignment horizontal="center" vertical="center"/>
    </xf>
    <xf numFmtId="164" fontId="9" fillId="4" borderId="10" xfId="2" applyFont="1" applyFill="1" applyBorder="1" applyAlignment="1">
      <alignment vertical="center"/>
    </xf>
    <xf numFmtId="0" fontId="5" fillId="4" borderId="3" xfId="0" applyNumberFormat="1" applyFont="1" applyFill="1" applyBorder="1" applyAlignment="1">
      <alignment horizontal="center" vertical="center"/>
    </xf>
    <xf numFmtId="0" fontId="8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164" fontId="10" fillId="4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жилье сиротам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11.xml"/><Relationship Id="rId299" Type="http://schemas.openxmlformats.org/officeDocument/2006/relationships/revisionLog" Target="revisionLog12.xml"/><Relationship Id="rId21" Type="http://schemas.openxmlformats.org/officeDocument/2006/relationships/revisionLog" Target="revisionLog15.xml"/><Relationship Id="rId63" Type="http://schemas.openxmlformats.org/officeDocument/2006/relationships/revisionLog" Target="revisionLog55.xml"/><Relationship Id="rId159" Type="http://schemas.openxmlformats.org/officeDocument/2006/relationships/revisionLog" Target="revisionLog151.xml"/><Relationship Id="rId324" Type="http://schemas.openxmlformats.org/officeDocument/2006/relationships/revisionLog" Target="revisionLog308.xml"/><Relationship Id="rId366" Type="http://schemas.openxmlformats.org/officeDocument/2006/relationships/revisionLog" Target="revisionLog350.xml"/><Relationship Id="rId170" Type="http://schemas.openxmlformats.org/officeDocument/2006/relationships/revisionLog" Target="revisionLog162.xml"/><Relationship Id="rId226" Type="http://schemas.openxmlformats.org/officeDocument/2006/relationships/revisionLog" Target="revisionLog217.xml"/><Relationship Id="rId433" Type="http://schemas.openxmlformats.org/officeDocument/2006/relationships/revisionLog" Target="revisionLog417.xml"/><Relationship Id="rId268" Type="http://schemas.openxmlformats.org/officeDocument/2006/relationships/revisionLog" Target="revisionLog259.xml"/><Relationship Id="rId32" Type="http://schemas.openxmlformats.org/officeDocument/2006/relationships/revisionLog" Target="revisionLog24.xml"/><Relationship Id="rId74" Type="http://schemas.openxmlformats.org/officeDocument/2006/relationships/revisionLog" Target="revisionLog66.xml"/><Relationship Id="rId128" Type="http://schemas.openxmlformats.org/officeDocument/2006/relationships/revisionLog" Target="revisionLog118.xml"/><Relationship Id="rId335" Type="http://schemas.openxmlformats.org/officeDocument/2006/relationships/revisionLog" Target="revisionLog319.xml"/><Relationship Id="rId377" Type="http://schemas.openxmlformats.org/officeDocument/2006/relationships/revisionLog" Target="revisionLog361.xml"/><Relationship Id="rId181" Type="http://schemas.openxmlformats.org/officeDocument/2006/relationships/revisionLog" Target="revisionLog173.xml"/><Relationship Id="rId237" Type="http://schemas.openxmlformats.org/officeDocument/2006/relationships/revisionLog" Target="revisionLog228.xml"/><Relationship Id="rId402" Type="http://schemas.openxmlformats.org/officeDocument/2006/relationships/revisionLog" Target="revisionLog386.xml"/><Relationship Id="rId279" Type="http://schemas.openxmlformats.org/officeDocument/2006/relationships/revisionLog" Target="revisionLog270.xml"/><Relationship Id="rId444" Type="http://schemas.openxmlformats.org/officeDocument/2006/relationships/revisionLog" Target="revisionLog428.xml"/><Relationship Id="rId43" Type="http://schemas.openxmlformats.org/officeDocument/2006/relationships/revisionLog" Target="revisionLog35.xml"/><Relationship Id="rId139" Type="http://schemas.openxmlformats.org/officeDocument/2006/relationships/revisionLog" Target="revisionLog131.xml"/><Relationship Id="rId290" Type="http://schemas.openxmlformats.org/officeDocument/2006/relationships/revisionLog" Target="revisionLog281.xml"/><Relationship Id="rId304" Type="http://schemas.openxmlformats.org/officeDocument/2006/relationships/revisionLog" Target="revisionLog289.xml"/><Relationship Id="rId346" Type="http://schemas.openxmlformats.org/officeDocument/2006/relationships/revisionLog" Target="revisionLog330.xml"/><Relationship Id="rId388" Type="http://schemas.openxmlformats.org/officeDocument/2006/relationships/revisionLog" Target="revisionLog372.xml"/><Relationship Id="rId85" Type="http://schemas.openxmlformats.org/officeDocument/2006/relationships/revisionLog" Target="revisionLog77.xml"/><Relationship Id="rId150" Type="http://schemas.openxmlformats.org/officeDocument/2006/relationships/revisionLog" Target="revisionLog142.xml"/><Relationship Id="rId192" Type="http://schemas.openxmlformats.org/officeDocument/2006/relationships/revisionLog" Target="revisionLog184.xml"/><Relationship Id="rId206" Type="http://schemas.openxmlformats.org/officeDocument/2006/relationships/revisionLog" Target="revisionLog197.xml"/><Relationship Id="rId413" Type="http://schemas.openxmlformats.org/officeDocument/2006/relationships/revisionLog" Target="revisionLog397.xml"/><Relationship Id="rId248" Type="http://schemas.openxmlformats.org/officeDocument/2006/relationships/revisionLog" Target="revisionLog239.xml"/><Relationship Id="rId455" Type="http://schemas.openxmlformats.org/officeDocument/2006/relationships/revisionLog" Target="revisionLog439.xml"/><Relationship Id="rId12" Type="http://schemas.openxmlformats.org/officeDocument/2006/relationships/revisionLog" Target="revisionLog1221.xml"/><Relationship Id="rId108" Type="http://schemas.openxmlformats.org/officeDocument/2006/relationships/revisionLog" Target="revisionLog100.xml"/><Relationship Id="rId315" Type="http://schemas.openxmlformats.org/officeDocument/2006/relationships/revisionLog" Target="revisionLog299.xml"/><Relationship Id="rId357" Type="http://schemas.openxmlformats.org/officeDocument/2006/relationships/revisionLog" Target="revisionLog341.xml"/><Relationship Id="rId54" Type="http://schemas.openxmlformats.org/officeDocument/2006/relationships/revisionLog" Target="revisionLog46.xml"/><Relationship Id="rId96" Type="http://schemas.openxmlformats.org/officeDocument/2006/relationships/revisionLog" Target="revisionLog88.xml"/><Relationship Id="rId161" Type="http://schemas.openxmlformats.org/officeDocument/2006/relationships/revisionLog" Target="revisionLog153.xml"/><Relationship Id="rId217" Type="http://schemas.openxmlformats.org/officeDocument/2006/relationships/revisionLog" Target="revisionLog208.xml"/><Relationship Id="rId399" Type="http://schemas.openxmlformats.org/officeDocument/2006/relationships/revisionLog" Target="revisionLog383.xml"/><Relationship Id="rId259" Type="http://schemas.openxmlformats.org/officeDocument/2006/relationships/revisionLog" Target="revisionLog250.xml"/><Relationship Id="rId424" Type="http://schemas.openxmlformats.org/officeDocument/2006/relationships/revisionLog" Target="revisionLog408.xml"/><Relationship Id="rId23" Type="http://schemas.openxmlformats.org/officeDocument/2006/relationships/revisionLog" Target="revisionLog16.xml"/><Relationship Id="rId119" Type="http://schemas.openxmlformats.org/officeDocument/2006/relationships/revisionLog" Target="revisionLog110.xml"/><Relationship Id="rId270" Type="http://schemas.openxmlformats.org/officeDocument/2006/relationships/revisionLog" Target="revisionLog261.xml"/><Relationship Id="rId291" Type="http://schemas.openxmlformats.org/officeDocument/2006/relationships/revisionLog" Target="revisionLog282.xml"/><Relationship Id="rId305" Type="http://schemas.openxmlformats.org/officeDocument/2006/relationships/revisionLog" Target="revisionLog290.xml"/><Relationship Id="rId326" Type="http://schemas.openxmlformats.org/officeDocument/2006/relationships/revisionLog" Target="revisionLog310.xml"/><Relationship Id="rId347" Type="http://schemas.openxmlformats.org/officeDocument/2006/relationships/revisionLog" Target="revisionLog331.xml"/><Relationship Id="rId44" Type="http://schemas.openxmlformats.org/officeDocument/2006/relationships/revisionLog" Target="revisionLog36.xml"/><Relationship Id="rId65" Type="http://schemas.openxmlformats.org/officeDocument/2006/relationships/revisionLog" Target="revisionLog57.xml"/><Relationship Id="rId86" Type="http://schemas.openxmlformats.org/officeDocument/2006/relationships/revisionLog" Target="revisionLog78.xml"/><Relationship Id="rId130" Type="http://schemas.openxmlformats.org/officeDocument/2006/relationships/revisionLog" Target="revisionLog120.xml"/><Relationship Id="rId151" Type="http://schemas.openxmlformats.org/officeDocument/2006/relationships/revisionLog" Target="revisionLog143.xml"/><Relationship Id="rId368" Type="http://schemas.openxmlformats.org/officeDocument/2006/relationships/revisionLog" Target="revisionLog352.xml"/><Relationship Id="rId389" Type="http://schemas.openxmlformats.org/officeDocument/2006/relationships/revisionLog" Target="revisionLog373.xml"/><Relationship Id="rId172" Type="http://schemas.openxmlformats.org/officeDocument/2006/relationships/revisionLog" Target="revisionLog164.xml"/><Relationship Id="rId193" Type="http://schemas.openxmlformats.org/officeDocument/2006/relationships/revisionLog" Target="revisionLog185.xml"/><Relationship Id="rId207" Type="http://schemas.openxmlformats.org/officeDocument/2006/relationships/revisionLog" Target="revisionLog198.xml"/><Relationship Id="rId228" Type="http://schemas.openxmlformats.org/officeDocument/2006/relationships/revisionLog" Target="revisionLog219.xml"/><Relationship Id="rId249" Type="http://schemas.openxmlformats.org/officeDocument/2006/relationships/revisionLog" Target="revisionLog240.xml"/><Relationship Id="rId414" Type="http://schemas.openxmlformats.org/officeDocument/2006/relationships/revisionLog" Target="revisionLog398.xml"/><Relationship Id="rId435" Type="http://schemas.openxmlformats.org/officeDocument/2006/relationships/revisionLog" Target="revisionLog419.xml"/><Relationship Id="rId456" Type="http://schemas.openxmlformats.org/officeDocument/2006/relationships/revisionLog" Target="revisionLog440.xml"/><Relationship Id="rId13" Type="http://schemas.openxmlformats.org/officeDocument/2006/relationships/revisionLog" Target="revisionLog2.xml"/><Relationship Id="rId109" Type="http://schemas.openxmlformats.org/officeDocument/2006/relationships/revisionLog" Target="revisionLog101.xml"/><Relationship Id="rId260" Type="http://schemas.openxmlformats.org/officeDocument/2006/relationships/revisionLog" Target="revisionLog251.xml"/><Relationship Id="rId281" Type="http://schemas.openxmlformats.org/officeDocument/2006/relationships/revisionLog" Target="revisionLog272.xml"/><Relationship Id="rId316" Type="http://schemas.openxmlformats.org/officeDocument/2006/relationships/revisionLog" Target="revisionLog300.xml"/><Relationship Id="rId337" Type="http://schemas.openxmlformats.org/officeDocument/2006/relationships/revisionLog" Target="revisionLog321.xml"/><Relationship Id="rId34" Type="http://schemas.openxmlformats.org/officeDocument/2006/relationships/revisionLog" Target="revisionLog26.xml"/><Relationship Id="rId55" Type="http://schemas.openxmlformats.org/officeDocument/2006/relationships/revisionLog" Target="revisionLog47.xml"/><Relationship Id="rId76" Type="http://schemas.openxmlformats.org/officeDocument/2006/relationships/revisionLog" Target="revisionLog68.xml"/><Relationship Id="rId97" Type="http://schemas.openxmlformats.org/officeDocument/2006/relationships/revisionLog" Target="revisionLog89.xml"/><Relationship Id="rId120" Type="http://schemas.openxmlformats.org/officeDocument/2006/relationships/revisionLog" Target="revisionLog112.xml"/><Relationship Id="rId141" Type="http://schemas.openxmlformats.org/officeDocument/2006/relationships/revisionLog" Target="revisionLog133.xml"/><Relationship Id="rId358" Type="http://schemas.openxmlformats.org/officeDocument/2006/relationships/revisionLog" Target="revisionLog342.xml"/><Relationship Id="rId379" Type="http://schemas.openxmlformats.org/officeDocument/2006/relationships/revisionLog" Target="revisionLog363.xml"/><Relationship Id="rId7" Type="http://schemas.openxmlformats.org/officeDocument/2006/relationships/revisionLog" Target="revisionLog7.xml"/><Relationship Id="rId162" Type="http://schemas.openxmlformats.org/officeDocument/2006/relationships/revisionLog" Target="revisionLog154.xml"/><Relationship Id="rId183" Type="http://schemas.openxmlformats.org/officeDocument/2006/relationships/revisionLog" Target="revisionLog175.xml"/><Relationship Id="rId218" Type="http://schemas.openxmlformats.org/officeDocument/2006/relationships/revisionLog" Target="revisionLog209.xml"/><Relationship Id="rId239" Type="http://schemas.openxmlformats.org/officeDocument/2006/relationships/revisionLog" Target="revisionLog230.xml"/><Relationship Id="rId390" Type="http://schemas.openxmlformats.org/officeDocument/2006/relationships/revisionLog" Target="revisionLog374.xml"/><Relationship Id="rId404" Type="http://schemas.openxmlformats.org/officeDocument/2006/relationships/revisionLog" Target="revisionLog388.xml"/><Relationship Id="rId425" Type="http://schemas.openxmlformats.org/officeDocument/2006/relationships/revisionLog" Target="revisionLog409.xml"/><Relationship Id="rId446" Type="http://schemas.openxmlformats.org/officeDocument/2006/relationships/revisionLog" Target="revisionLog430.xml"/><Relationship Id="rId250" Type="http://schemas.openxmlformats.org/officeDocument/2006/relationships/revisionLog" Target="revisionLog241.xml"/><Relationship Id="rId271" Type="http://schemas.openxmlformats.org/officeDocument/2006/relationships/revisionLog" Target="revisionLog262.xml"/><Relationship Id="rId292" Type="http://schemas.openxmlformats.org/officeDocument/2006/relationships/revisionLog" Target="revisionLog283.xml"/><Relationship Id="rId306" Type="http://schemas.openxmlformats.org/officeDocument/2006/relationships/revisionLog" Target="revisionLog13.xml"/><Relationship Id="rId24" Type="http://schemas.openxmlformats.org/officeDocument/2006/relationships/revisionLog" Target="revisionLog17.xml"/><Relationship Id="rId45" Type="http://schemas.openxmlformats.org/officeDocument/2006/relationships/revisionLog" Target="revisionLog37.xml"/><Relationship Id="rId66" Type="http://schemas.openxmlformats.org/officeDocument/2006/relationships/revisionLog" Target="revisionLog58.xml"/><Relationship Id="rId87" Type="http://schemas.openxmlformats.org/officeDocument/2006/relationships/revisionLog" Target="revisionLog79.xml"/><Relationship Id="rId110" Type="http://schemas.openxmlformats.org/officeDocument/2006/relationships/revisionLog" Target="revisionLog102.xml"/><Relationship Id="rId131" Type="http://schemas.openxmlformats.org/officeDocument/2006/relationships/revisionLog" Target="revisionLog123.xml"/><Relationship Id="rId327" Type="http://schemas.openxmlformats.org/officeDocument/2006/relationships/revisionLog" Target="revisionLog311.xml"/><Relationship Id="rId348" Type="http://schemas.openxmlformats.org/officeDocument/2006/relationships/revisionLog" Target="revisionLog332.xml"/><Relationship Id="rId369" Type="http://schemas.openxmlformats.org/officeDocument/2006/relationships/revisionLog" Target="revisionLog353.xml"/><Relationship Id="rId152" Type="http://schemas.openxmlformats.org/officeDocument/2006/relationships/revisionLog" Target="revisionLog144.xml"/><Relationship Id="rId173" Type="http://schemas.openxmlformats.org/officeDocument/2006/relationships/revisionLog" Target="revisionLog165.xml"/><Relationship Id="rId194" Type="http://schemas.openxmlformats.org/officeDocument/2006/relationships/revisionLog" Target="revisionLog186.xml"/><Relationship Id="rId208" Type="http://schemas.openxmlformats.org/officeDocument/2006/relationships/revisionLog" Target="revisionLog199.xml"/><Relationship Id="rId229" Type="http://schemas.openxmlformats.org/officeDocument/2006/relationships/revisionLog" Target="revisionLog220.xml"/><Relationship Id="rId380" Type="http://schemas.openxmlformats.org/officeDocument/2006/relationships/revisionLog" Target="revisionLog364.xml"/><Relationship Id="rId415" Type="http://schemas.openxmlformats.org/officeDocument/2006/relationships/revisionLog" Target="revisionLog399.xml"/><Relationship Id="rId436" Type="http://schemas.openxmlformats.org/officeDocument/2006/relationships/revisionLog" Target="revisionLog420.xml"/><Relationship Id="rId457" Type="http://schemas.openxmlformats.org/officeDocument/2006/relationships/revisionLog" Target="revisionLog441.xml"/><Relationship Id="rId240" Type="http://schemas.openxmlformats.org/officeDocument/2006/relationships/revisionLog" Target="revisionLog231.xml"/><Relationship Id="rId261" Type="http://schemas.openxmlformats.org/officeDocument/2006/relationships/revisionLog" Target="revisionLog252.xml"/><Relationship Id="rId14" Type="http://schemas.openxmlformats.org/officeDocument/2006/relationships/revisionLog" Target="revisionLog3.xml"/><Relationship Id="rId35" Type="http://schemas.openxmlformats.org/officeDocument/2006/relationships/revisionLog" Target="revisionLog27.xml"/><Relationship Id="rId56" Type="http://schemas.openxmlformats.org/officeDocument/2006/relationships/revisionLog" Target="revisionLog48.xml"/><Relationship Id="rId77" Type="http://schemas.openxmlformats.org/officeDocument/2006/relationships/revisionLog" Target="revisionLog69.xml"/><Relationship Id="rId100" Type="http://schemas.openxmlformats.org/officeDocument/2006/relationships/revisionLog" Target="revisionLog92.xml"/><Relationship Id="rId282" Type="http://schemas.openxmlformats.org/officeDocument/2006/relationships/revisionLog" Target="revisionLog273.xml"/><Relationship Id="rId317" Type="http://schemas.openxmlformats.org/officeDocument/2006/relationships/revisionLog" Target="revisionLog301.xml"/><Relationship Id="rId338" Type="http://schemas.openxmlformats.org/officeDocument/2006/relationships/revisionLog" Target="revisionLog322.xml"/><Relationship Id="rId359" Type="http://schemas.openxmlformats.org/officeDocument/2006/relationships/revisionLog" Target="revisionLog343.xml"/><Relationship Id="rId8" Type="http://schemas.openxmlformats.org/officeDocument/2006/relationships/revisionLog" Target="revisionLog1111.xml"/><Relationship Id="rId98" Type="http://schemas.openxmlformats.org/officeDocument/2006/relationships/revisionLog" Target="revisionLog90.xml"/><Relationship Id="rId121" Type="http://schemas.openxmlformats.org/officeDocument/2006/relationships/revisionLog" Target="revisionLog145.xml"/><Relationship Id="rId142" Type="http://schemas.openxmlformats.org/officeDocument/2006/relationships/revisionLog" Target="revisionLog1341.xml"/><Relationship Id="rId163" Type="http://schemas.openxmlformats.org/officeDocument/2006/relationships/revisionLog" Target="revisionLog155.xml"/><Relationship Id="rId184" Type="http://schemas.openxmlformats.org/officeDocument/2006/relationships/revisionLog" Target="revisionLog176.xml"/><Relationship Id="rId219" Type="http://schemas.openxmlformats.org/officeDocument/2006/relationships/revisionLog" Target="revisionLog210.xml"/><Relationship Id="rId370" Type="http://schemas.openxmlformats.org/officeDocument/2006/relationships/revisionLog" Target="revisionLog354.xml"/><Relationship Id="rId391" Type="http://schemas.openxmlformats.org/officeDocument/2006/relationships/revisionLog" Target="revisionLog375.xml"/><Relationship Id="rId405" Type="http://schemas.openxmlformats.org/officeDocument/2006/relationships/revisionLog" Target="revisionLog389.xml"/><Relationship Id="rId426" Type="http://schemas.openxmlformats.org/officeDocument/2006/relationships/revisionLog" Target="revisionLog410.xml"/><Relationship Id="rId447" Type="http://schemas.openxmlformats.org/officeDocument/2006/relationships/revisionLog" Target="revisionLog431.xml"/><Relationship Id="rId230" Type="http://schemas.openxmlformats.org/officeDocument/2006/relationships/revisionLog" Target="revisionLog221.xml"/><Relationship Id="rId251" Type="http://schemas.openxmlformats.org/officeDocument/2006/relationships/revisionLog" Target="revisionLog242.xml"/><Relationship Id="rId25" Type="http://schemas.openxmlformats.org/officeDocument/2006/relationships/revisionLog" Target="revisionLog182.xml"/><Relationship Id="rId46" Type="http://schemas.openxmlformats.org/officeDocument/2006/relationships/revisionLog" Target="revisionLog38.xml"/><Relationship Id="rId67" Type="http://schemas.openxmlformats.org/officeDocument/2006/relationships/revisionLog" Target="revisionLog59.xml"/><Relationship Id="rId272" Type="http://schemas.openxmlformats.org/officeDocument/2006/relationships/revisionLog" Target="revisionLog263.xml"/><Relationship Id="rId293" Type="http://schemas.openxmlformats.org/officeDocument/2006/relationships/revisionLog" Target="revisionLog284.xml"/><Relationship Id="rId307" Type="http://schemas.openxmlformats.org/officeDocument/2006/relationships/revisionLog" Target="revisionLog291.xml"/><Relationship Id="rId328" Type="http://schemas.openxmlformats.org/officeDocument/2006/relationships/revisionLog" Target="revisionLog312.xml"/><Relationship Id="rId349" Type="http://schemas.openxmlformats.org/officeDocument/2006/relationships/revisionLog" Target="revisionLog333.xml"/><Relationship Id="rId88" Type="http://schemas.openxmlformats.org/officeDocument/2006/relationships/revisionLog" Target="revisionLog80.xml"/><Relationship Id="rId111" Type="http://schemas.openxmlformats.org/officeDocument/2006/relationships/revisionLog" Target="revisionLog103.xml"/><Relationship Id="rId132" Type="http://schemas.openxmlformats.org/officeDocument/2006/relationships/revisionLog" Target="revisionLog124.xml"/><Relationship Id="rId153" Type="http://schemas.openxmlformats.org/officeDocument/2006/relationships/revisionLog" Target="revisionLog14511.xml"/><Relationship Id="rId174" Type="http://schemas.openxmlformats.org/officeDocument/2006/relationships/revisionLog" Target="revisionLog166.xml"/><Relationship Id="rId195" Type="http://schemas.openxmlformats.org/officeDocument/2006/relationships/revisionLog" Target="revisionLog187.xml"/><Relationship Id="rId209" Type="http://schemas.openxmlformats.org/officeDocument/2006/relationships/revisionLog" Target="revisionLog200.xml"/><Relationship Id="rId360" Type="http://schemas.openxmlformats.org/officeDocument/2006/relationships/revisionLog" Target="revisionLog344.xml"/><Relationship Id="rId381" Type="http://schemas.openxmlformats.org/officeDocument/2006/relationships/revisionLog" Target="revisionLog365.xml"/><Relationship Id="rId416" Type="http://schemas.openxmlformats.org/officeDocument/2006/relationships/revisionLog" Target="revisionLog400.xml"/><Relationship Id="rId220" Type="http://schemas.openxmlformats.org/officeDocument/2006/relationships/revisionLog" Target="revisionLog211.xml"/><Relationship Id="rId241" Type="http://schemas.openxmlformats.org/officeDocument/2006/relationships/revisionLog" Target="revisionLog232.xml"/><Relationship Id="rId437" Type="http://schemas.openxmlformats.org/officeDocument/2006/relationships/revisionLog" Target="revisionLog421.xml"/><Relationship Id="rId458" Type="http://schemas.openxmlformats.org/officeDocument/2006/relationships/revisionLog" Target="revisionLog442.xml"/><Relationship Id="rId15" Type="http://schemas.openxmlformats.org/officeDocument/2006/relationships/revisionLog" Target="revisionLog4.xml"/><Relationship Id="rId36" Type="http://schemas.openxmlformats.org/officeDocument/2006/relationships/revisionLog" Target="revisionLog28.xml"/><Relationship Id="rId57" Type="http://schemas.openxmlformats.org/officeDocument/2006/relationships/revisionLog" Target="revisionLog49.xml"/><Relationship Id="rId262" Type="http://schemas.openxmlformats.org/officeDocument/2006/relationships/revisionLog" Target="revisionLog253.xml"/><Relationship Id="rId283" Type="http://schemas.openxmlformats.org/officeDocument/2006/relationships/revisionLog" Target="revisionLog274.xml"/><Relationship Id="rId318" Type="http://schemas.openxmlformats.org/officeDocument/2006/relationships/revisionLog" Target="revisionLog302.xml"/><Relationship Id="rId339" Type="http://schemas.openxmlformats.org/officeDocument/2006/relationships/revisionLog" Target="revisionLog323.xml"/><Relationship Id="rId78" Type="http://schemas.openxmlformats.org/officeDocument/2006/relationships/revisionLog" Target="revisionLog70.xml"/><Relationship Id="rId99" Type="http://schemas.openxmlformats.org/officeDocument/2006/relationships/revisionLog" Target="revisionLog91.xml"/><Relationship Id="rId101" Type="http://schemas.openxmlformats.org/officeDocument/2006/relationships/revisionLog" Target="revisionLog93.xml"/><Relationship Id="rId122" Type="http://schemas.openxmlformats.org/officeDocument/2006/relationships/revisionLog" Target="revisionLog109.xml"/><Relationship Id="rId143" Type="http://schemas.openxmlformats.org/officeDocument/2006/relationships/revisionLog" Target="revisionLog135.xml"/><Relationship Id="rId164" Type="http://schemas.openxmlformats.org/officeDocument/2006/relationships/revisionLog" Target="revisionLog156.xml"/><Relationship Id="rId185" Type="http://schemas.openxmlformats.org/officeDocument/2006/relationships/revisionLog" Target="revisionLog177.xml"/><Relationship Id="rId350" Type="http://schemas.openxmlformats.org/officeDocument/2006/relationships/revisionLog" Target="revisionLog334.xml"/><Relationship Id="rId371" Type="http://schemas.openxmlformats.org/officeDocument/2006/relationships/revisionLog" Target="revisionLog355.xml"/><Relationship Id="rId406" Type="http://schemas.openxmlformats.org/officeDocument/2006/relationships/revisionLog" Target="revisionLog390.xml"/><Relationship Id="rId9" Type="http://schemas.openxmlformats.org/officeDocument/2006/relationships/revisionLog" Target="revisionLog12111.xml"/><Relationship Id="rId210" Type="http://schemas.openxmlformats.org/officeDocument/2006/relationships/revisionLog" Target="revisionLog201.xml"/><Relationship Id="rId392" Type="http://schemas.openxmlformats.org/officeDocument/2006/relationships/revisionLog" Target="revisionLog376.xml"/><Relationship Id="rId427" Type="http://schemas.openxmlformats.org/officeDocument/2006/relationships/revisionLog" Target="revisionLog411.xml"/><Relationship Id="rId448" Type="http://schemas.openxmlformats.org/officeDocument/2006/relationships/revisionLog" Target="revisionLog432.xml"/><Relationship Id="rId26" Type="http://schemas.openxmlformats.org/officeDocument/2006/relationships/revisionLog" Target="revisionLog192.xml"/><Relationship Id="rId231" Type="http://schemas.openxmlformats.org/officeDocument/2006/relationships/revisionLog" Target="revisionLog222.xml"/><Relationship Id="rId252" Type="http://schemas.openxmlformats.org/officeDocument/2006/relationships/revisionLog" Target="revisionLog243.xml"/><Relationship Id="rId273" Type="http://schemas.openxmlformats.org/officeDocument/2006/relationships/revisionLog" Target="revisionLog264.xml"/><Relationship Id="rId294" Type="http://schemas.openxmlformats.org/officeDocument/2006/relationships/revisionLog" Target="revisionLog285.xml"/><Relationship Id="rId308" Type="http://schemas.openxmlformats.org/officeDocument/2006/relationships/revisionLog" Target="revisionLog292.xml"/><Relationship Id="rId329" Type="http://schemas.openxmlformats.org/officeDocument/2006/relationships/revisionLog" Target="revisionLog313.xml"/><Relationship Id="rId47" Type="http://schemas.openxmlformats.org/officeDocument/2006/relationships/revisionLog" Target="revisionLog39.xml"/><Relationship Id="rId68" Type="http://schemas.openxmlformats.org/officeDocument/2006/relationships/revisionLog" Target="revisionLog60.xml"/><Relationship Id="rId89" Type="http://schemas.openxmlformats.org/officeDocument/2006/relationships/revisionLog" Target="revisionLog81.xml"/><Relationship Id="rId112" Type="http://schemas.openxmlformats.org/officeDocument/2006/relationships/revisionLog" Target="revisionLog104.xml"/><Relationship Id="rId133" Type="http://schemas.openxmlformats.org/officeDocument/2006/relationships/revisionLog" Target="revisionLog125.xml"/><Relationship Id="rId154" Type="http://schemas.openxmlformats.org/officeDocument/2006/relationships/revisionLog" Target="revisionLog146.xml"/><Relationship Id="rId175" Type="http://schemas.openxmlformats.org/officeDocument/2006/relationships/revisionLog" Target="revisionLog167.xml"/><Relationship Id="rId340" Type="http://schemas.openxmlformats.org/officeDocument/2006/relationships/revisionLog" Target="revisionLog324.xml"/><Relationship Id="rId361" Type="http://schemas.openxmlformats.org/officeDocument/2006/relationships/revisionLog" Target="revisionLog345.xml"/><Relationship Id="rId196" Type="http://schemas.openxmlformats.org/officeDocument/2006/relationships/revisionLog" Target="revisionLog188.xml"/><Relationship Id="rId200" Type="http://schemas.openxmlformats.org/officeDocument/2006/relationships/revisionLog" Target="revisionLog1921.xml"/><Relationship Id="rId382" Type="http://schemas.openxmlformats.org/officeDocument/2006/relationships/revisionLog" Target="revisionLog366.xml"/><Relationship Id="rId417" Type="http://schemas.openxmlformats.org/officeDocument/2006/relationships/revisionLog" Target="revisionLog401.xml"/><Relationship Id="rId438" Type="http://schemas.openxmlformats.org/officeDocument/2006/relationships/revisionLog" Target="revisionLog422.xml"/><Relationship Id="rId459" Type="http://schemas.openxmlformats.org/officeDocument/2006/relationships/revisionLog" Target="revisionLog443.xml"/><Relationship Id="rId16" Type="http://schemas.openxmlformats.org/officeDocument/2006/relationships/revisionLog" Target="revisionLog8.xml"/><Relationship Id="rId221" Type="http://schemas.openxmlformats.org/officeDocument/2006/relationships/revisionLog" Target="revisionLog212.xml"/><Relationship Id="rId242" Type="http://schemas.openxmlformats.org/officeDocument/2006/relationships/revisionLog" Target="revisionLog233.xml"/><Relationship Id="rId263" Type="http://schemas.openxmlformats.org/officeDocument/2006/relationships/revisionLog" Target="revisionLog254.xml"/><Relationship Id="rId284" Type="http://schemas.openxmlformats.org/officeDocument/2006/relationships/revisionLog" Target="revisionLog275.xml"/><Relationship Id="rId319" Type="http://schemas.openxmlformats.org/officeDocument/2006/relationships/revisionLog" Target="revisionLog303.xml"/><Relationship Id="rId37" Type="http://schemas.openxmlformats.org/officeDocument/2006/relationships/revisionLog" Target="revisionLog29.xml"/><Relationship Id="rId58" Type="http://schemas.openxmlformats.org/officeDocument/2006/relationships/revisionLog" Target="revisionLog50.xml"/><Relationship Id="rId79" Type="http://schemas.openxmlformats.org/officeDocument/2006/relationships/revisionLog" Target="revisionLog71.xml"/><Relationship Id="rId102" Type="http://schemas.openxmlformats.org/officeDocument/2006/relationships/revisionLog" Target="revisionLog94.xml"/><Relationship Id="rId123" Type="http://schemas.openxmlformats.org/officeDocument/2006/relationships/revisionLog" Target="revisionLog113.xml"/><Relationship Id="rId144" Type="http://schemas.openxmlformats.org/officeDocument/2006/relationships/revisionLog" Target="revisionLog136.xml"/><Relationship Id="rId330" Type="http://schemas.openxmlformats.org/officeDocument/2006/relationships/revisionLog" Target="revisionLog314.xml"/><Relationship Id="rId90" Type="http://schemas.openxmlformats.org/officeDocument/2006/relationships/revisionLog" Target="revisionLog82.xml"/><Relationship Id="rId165" Type="http://schemas.openxmlformats.org/officeDocument/2006/relationships/revisionLog" Target="revisionLog157.xml"/><Relationship Id="rId186" Type="http://schemas.openxmlformats.org/officeDocument/2006/relationships/revisionLog" Target="revisionLog178.xml"/><Relationship Id="rId351" Type="http://schemas.openxmlformats.org/officeDocument/2006/relationships/revisionLog" Target="revisionLog335.xml"/><Relationship Id="rId372" Type="http://schemas.openxmlformats.org/officeDocument/2006/relationships/revisionLog" Target="revisionLog356.xml"/><Relationship Id="rId393" Type="http://schemas.openxmlformats.org/officeDocument/2006/relationships/revisionLog" Target="revisionLog377.xml"/><Relationship Id="rId407" Type="http://schemas.openxmlformats.org/officeDocument/2006/relationships/revisionLog" Target="revisionLog391.xml"/><Relationship Id="rId428" Type="http://schemas.openxmlformats.org/officeDocument/2006/relationships/revisionLog" Target="revisionLog412.xml"/><Relationship Id="rId449" Type="http://schemas.openxmlformats.org/officeDocument/2006/relationships/revisionLog" Target="revisionLog433.xml"/><Relationship Id="rId211" Type="http://schemas.openxmlformats.org/officeDocument/2006/relationships/revisionLog" Target="revisionLog202.xml"/><Relationship Id="rId232" Type="http://schemas.openxmlformats.org/officeDocument/2006/relationships/revisionLog" Target="revisionLog223.xml"/><Relationship Id="rId253" Type="http://schemas.openxmlformats.org/officeDocument/2006/relationships/revisionLog" Target="revisionLog244.xml"/><Relationship Id="rId274" Type="http://schemas.openxmlformats.org/officeDocument/2006/relationships/revisionLog" Target="revisionLog265.xml"/><Relationship Id="rId295" Type="http://schemas.openxmlformats.org/officeDocument/2006/relationships/revisionLog" Target="revisionLog286.xml"/><Relationship Id="rId309" Type="http://schemas.openxmlformats.org/officeDocument/2006/relationships/revisionLog" Target="revisionLog293.xml"/><Relationship Id="rId460" Type="http://schemas.openxmlformats.org/officeDocument/2006/relationships/revisionLog" Target="revisionLog1.xml"/><Relationship Id="rId27" Type="http://schemas.openxmlformats.org/officeDocument/2006/relationships/revisionLog" Target="revisionLog5.xml"/><Relationship Id="rId48" Type="http://schemas.openxmlformats.org/officeDocument/2006/relationships/revisionLog" Target="revisionLog40.xml"/><Relationship Id="rId69" Type="http://schemas.openxmlformats.org/officeDocument/2006/relationships/revisionLog" Target="revisionLog61.xml"/><Relationship Id="rId113" Type="http://schemas.openxmlformats.org/officeDocument/2006/relationships/revisionLog" Target="revisionLog105.xml"/><Relationship Id="rId134" Type="http://schemas.openxmlformats.org/officeDocument/2006/relationships/revisionLog" Target="revisionLog126.xml"/><Relationship Id="rId320" Type="http://schemas.openxmlformats.org/officeDocument/2006/relationships/revisionLog" Target="revisionLog304.xml"/><Relationship Id="rId80" Type="http://schemas.openxmlformats.org/officeDocument/2006/relationships/revisionLog" Target="revisionLog72.xml"/><Relationship Id="rId155" Type="http://schemas.openxmlformats.org/officeDocument/2006/relationships/revisionLog" Target="revisionLog147.xml"/><Relationship Id="rId176" Type="http://schemas.openxmlformats.org/officeDocument/2006/relationships/revisionLog" Target="revisionLog168.xml"/><Relationship Id="rId197" Type="http://schemas.openxmlformats.org/officeDocument/2006/relationships/revisionLog" Target="revisionLog189.xml"/><Relationship Id="rId341" Type="http://schemas.openxmlformats.org/officeDocument/2006/relationships/revisionLog" Target="revisionLog325.xml"/><Relationship Id="rId362" Type="http://schemas.openxmlformats.org/officeDocument/2006/relationships/revisionLog" Target="revisionLog346.xml"/><Relationship Id="rId383" Type="http://schemas.openxmlformats.org/officeDocument/2006/relationships/revisionLog" Target="revisionLog367.xml"/><Relationship Id="rId418" Type="http://schemas.openxmlformats.org/officeDocument/2006/relationships/revisionLog" Target="revisionLog402.xml"/><Relationship Id="rId439" Type="http://schemas.openxmlformats.org/officeDocument/2006/relationships/revisionLog" Target="revisionLog423.xml"/><Relationship Id="rId201" Type="http://schemas.openxmlformats.org/officeDocument/2006/relationships/revisionLog" Target="revisionLog114.xml"/><Relationship Id="rId222" Type="http://schemas.openxmlformats.org/officeDocument/2006/relationships/revisionLog" Target="revisionLog213.xml"/><Relationship Id="rId243" Type="http://schemas.openxmlformats.org/officeDocument/2006/relationships/revisionLog" Target="revisionLog234.xml"/><Relationship Id="rId264" Type="http://schemas.openxmlformats.org/officeDocument/2006/relationships/revisionLog" Target="revisionLog255.xml"/><Relationship Id="rId285" Type="http://schemas.openxmlformats.org/officeDocument/2006/relationships/revisionLog" Target="revisionLog276.xml"/><Relationship Id="rId450" Type="http://schemas.openxmlformats.org/officeDocument/2006/relationships/revisionLog" Target="revisionLog434.xml"/><Relationship Id="rId17" Type="http://schemas.openxmlformats.org/officeDocument/2006/relationships/revisionLog" Target="revisionLog9.xml"/><Relationship Id="rId38" Type="http://schemas.openxmlformats.org/officeDocument/2006/relationships/revisionLog" Target="revisionLog30.xml"/><Relationship Id="rId59" Type="http://schemas.openxmlformats.org/officeDocument/2006/relationships/revisionLog" Target="revisionLog51.xml"/><Relationship Id="rId103" Type="http://schemas.openxmlformats.org/officeDocument/2006/relationships/revisionLog" Target="revisionLog95.xml"/><Relationship Id="rId124" Type="http://schemas.openxmlformats.org/officeDocument/2006/relationships/revisionLog" Target="revisionLog1141.xml"/><Relationship Id="rId310" Type="http://schemas.openxmlformats.org/officeDocument/2006/relationships/revisionLog" Target="revisionLog294.xml"/><Relationship Id="rId70" Type="http://schemas.openxmlformats.org/officeDocument/2006/relationships/revisionLog" Target="revisionLog62.xml"/><Relationship Id="rId91" Type="http://schemas.openxmlformats.org/officeDocument/2006/relationships/revisionLog" Target="revisionLog83.xml"/><Relationship Id="rId145" Type="http://schemas.openxmlformats.org/officeDocument/2006/relationships/revisionLog" Target="revisionLog137.xml"/><Relationship Id="rId166" Type="http://schemas.openxmlformats.org/officeDocument/2006/relationships/revisionLog" Target="revisionLog158.xml"/><Relationship Id="rId187" Type="http://schemas.openxmlformats.org/officeDocument/2006/relationships/revisionLog" Target="revisionLog179.xml"/><Relationship Id="rId331" Type="http://schemas.openxmlformats.org/officeDocument/2006/relationships/revisionLog" Target="revisionLog315.xml"/><Relationship Id="rId352" Type="http://schemas.openxmlformats.org/officeDocument/2006/relationships/revisionLog" Target="revisionLog336.xml"/><Relationship Id="rId373" Type="http://schemas.openxmlformats.org/officeDocument/2006/relationships/revisionLog" Target="revisionLog357.xml"/><Relationship Id="rId394" Type="http://schemas.openxmlformats.org/officeDocument/2006/relationships/revisionLog" Target="revisionLog378.xml"/><Relationship Id="rId408" Type="http://schemas.openxmlformats.org/officeDocument/2006/relationships/revisionLog" Target="revisionLog392.xml"/><Relationship Id="rId429" Type="http://schemas.openxmlformats.org/officeDocument/2006/relationships/revisionLog" Target="revisionLog413.xml"/><Relationship Id="rId212" Type="http://schemas.openxmlformats.org/officeDocument/2006/relationships/revisionLog" Target="revisionLog203.xml"/><Relationship Id="rId233" Type="http://schemas.openxmlformats.org/officeDocument/2006/relationships/revisionLog" Target="revisionLog224.xml"/><Relationship Id="rId254" Type="http://schemas.openxmlformats.org/officeDocument/2006/relationships/revisionLog" Target="revisionLog245.xml"/><Relationship Id="rId440" Type="http://schemas.openxmlformats.org/officeDocument/2006/relationships/revisionLog" Target="revisionLog424.xml"/><Relationship Id="rId28" Type="http://schemas.openxmlformats.org/officeDocument/2006/relationships/revisionLog" Target="revisionLog20.xml"/><Relationship Id="rId49" Type="http://schemas.openxmlformats.org/officeDocument/2006/relationships/revisionLog" Target="revisionLog41.xml"/><Relationship Id="rId114" Type="http://schemas.openxmlformats.org/officeDocument/2006/relationships/revisionLog" Target="revisionLog106.xml"/><Relationship Id="rId275" Type="http://schemas.openxmlformats.org/officeDocument/2006/relationships/revisionLog" Target="revisionLog266.xml"/><Relationship Id="rId296" Type="http://schemas.openxmlformats.org/officeDocument/2006/relationships/revisionLog" Target="revisionLog287.xml"/><Relationship Id="rId300" Type="http://schemas.openxmlformats.org/officeDocument/2006/relationships/revisionLog" Target="revisionLog115.xml"/><Relationship Id="rId461" Type="http://schemas.openxmlformats.org/officeDocument/2006/relationships/revisionLog" Target="revisionLog444.xml"/><Relationship Id="rId60" Type="http://schemas.openxmlformats.org/officeDocument/2006/relationships/revisionLog" Target="revisionLog52.xml"/><Relationship Id="rId81" Type="http://schemas.openxmlformats.org/officeDocument/2006/relationships/revisionLog" Target="revisionLog73.xml"/><Relationship Id="rId135" Type="http://schemas.openxmlformats.org/officeDocument/2006/relationships/revisionLog" Target="revisionLog127.xml"/><Relationship Id="rId156" Type="http://schemas.openxmlformats.org/officeDocument/2006/relationships/revisionLog" Target="revisionLog148.xml"/><Relationship Id="rId177" Type="http://schemas.openxmlformats.org/officeDocument/2006/relationships/revisionLog" Target="revisionLog169.xml"/><Relationship Id="rId198" Type="http://schemas.openxmlformats.org/officeDocument/2006/relationships/revisionLog" Target="revisionLog190.xml"/><Relationship Id="rId321" Type="http://schemas.openxmlformats.org/officeDocument/2006/relationships/revisionLog" Target="revisionLog305.xml"/><Relationship Id="rId342" Type="http://schemas.openxmlformats.org/officeDocument/2006/relationships/revisionLog" Target="revisionLog326.xml"/><Relationship Id="rId363" Type="http://schemas.openxmlformats.org/officeDocument/2006/relationships/revisionLog" Target="revisionLog347.xml"/><Relationship Id="rId384" Type="http://schemas.openxmlformats.org/officeDocument/2006/relationships/revisionLog" Target="revisionLog368.xml"/><Relationship Id="rId419" Type="http://schemas.openxmlformats.org/officeDocument/2006/relationships/revisionLog" Target="revisionLog403.xml"/><Relationship Id="rId202" Type="http://schemas.openxmlformats.org/officeDocument/2006/relationships/revisionLog" Target="revisionLog193.xml"/><Relationship Id="rId223" Type="http://schemas.openxmlformats.org/officeDocument/2006/relationships/revisionLog" Target="revisionLog214.xml"/><Relationship Id="rId244" Type="http://schemas.openxmlformats.org/officeDocument/2006/relationships/revisionLog" Target="revisionLog235.xml"/><Relationship Id="rId430" Type="http://schemas.openxmlformats.org/officeDocument/2006/relationships/revisionLog" Target="revisionLog414.xml"/><Relationship Id="rId18" Type="http://schemas.openxmlformats.org/officeDocument/2006/relationships/revisionLog" Target="revisionLog10.xml"/><Relationship Id="rId39" Type="http://schemas.openxmlformats.org/officeDocument/2006/relationships/revisionLog" Target="revisionLog31.xml"/><Relationship Id="rId265" Type="http://schemas.openxmlformats.org/officeDocument/2006/relationships/revisionLog" Target="revisionLog256.xml"/><Relationship Id="rId286" Type="http://schemas.openxmlformats.org/officeDocument/2006/relationships/revisionLog" Target="revisionLog277.xml"/><Relationship Id="rId451" Type="http://schemas.openxmlformats.org/officeDocument/2006/relationships/revisionLog" Target="revisionLog435.xml"/><Relationship Id="rId50" Type="http://schemas.openxmlformats.org/officeDocument/2006/relationships/revisionLog" Target="revisionLog42.xml"/><Relationship Id="rId104" Type="http://schemas.openxmlformats.org/officeDocument/2006/relationships/revisionLog" Target="revisionLog96.xml"/><Relationship Id="rId125" Type="http://schemas.openxmlformats.org/officeDocument/2006/relationships/revisionLog" Target="revisionLog1151.xml"/><Relationship Id="rId146" Type="http://schemas.openxmlformats.org/officeDocument/2006/relationships/revisionLog" Target="revisionLog138.xml"/><Relationship Id="rId167" Type="http://schemas.openxmlformats.org/officeDocument/2006/relationships/revisionLog" Target="revisionLog159.xml"/><Relationship Id="rId188" Type="http://schemas.openxmlformats.org/officeDocument/2006/relationships/revisionLog" Target="revisionLog180.xml"/><Relationship Id="rId311" Type="http://schemas.openxmlformats.org/officeDocument/2006/relationships/revisionLog" Target="revisionLog295.xml"/><Relationship Id="rId332" Type="http://schemas.openxmlformats.org/officeDocument/2006/relationships/revisionLog" Target="revisionLog316.xml"/><Relationship Id="rId353" Type="http://schemas.openxmlformats.org/officeDocument/2006/relationships/revisionLog" Target="revisionLog337.xml"/><Relationship Id="rId374" Type="http://schemas.openxmlformats.org/officeDocument/2006/relationships/revisionLog" Target="revisionLog358.xml"/><Relationship Id="rId395" Type="http://schemas.openxmlformats.org/officeDocument/2006/relationships/revisionLog" Target="revisionLog379.xml"/><Relationship Id="rId409" Type="http://schemas.openxmlformats.org/officeDocument/2006/relationships/revisionLog" Target="revisionLog393.xml"/><Relationship Id="rId71" Type="http://schemas.openxmlformats.org/officeDocument/2006/relationships/revisionLog" Target="revisionLog63.xml"/><Relationship Id="rId92" Type="http://schemas.openxmlformats.org/officeDocument/2006/relationships/revisionLog" Target="revisionLog84.xml"/><Relationship Id="rId213" Type="http://schemas.openxmlformats.org/officeDocument/2006/relationships/revisionLog" Target="revisionLog204.xml"/><Relationship Id="rId234" Type="http://schemas.openxmlformats.org/officeDocument/2006/relationships/revisionLog" Target="revisionLog225.xml"/><Relationship Id="rId420" Type="http://schemas.openxmlformats.org/officeDocument/2006/relationships/revisionLog" Target="revisionLog404.xml"/><Relationship Id="rId29" Type="http://schemas.openxmlformats.org/officeDocument/2006/relationships/revisionLog" Target="revisionLog21.xml"/><Relationship Id="rId255" Type="http://schemas.openxmlformats.org/officeDocument/2006/relationships/revisionLog" Target="revisionLog246.xml"/><Relationship Id="rId276" Type="http://schemas.openxmlformats.org/officeDocument/2006/relationships/revisionLog" Target="revisionLog267.xml"/><Relationship Id="rId297" Type="http://schemas.openxmlformats.org/officeDocument/2006/relationships/revisionLog" Target="revisionLog132.xml"/><Relationship Id="rId441" Type="http://schemas.openxmlformats.org/officeDocument/2006/relationships/revisionLog" Target="revisionLog425.xml"/><Relationship Id="rId462" Type="http://schemas.openxmlformats.org/officeDocument/2006/relationships/revisionLog" Target="revisionLog445.xml"/><Relationship Id="rId40" Type="http://schemas.openxmlformats.org/officeDocument/2006/relationships/revisionLog" Target="revisionLog32.xml"/><Relationship Id="rId115" Type="http://schemas.openxmlformats.org/officeDocument/2006/relationships/revisionLog" Target="revisionLog107.xml"/><Relationship Id="rId136" Type="http://schemas.openxmlformats.org/officeDocument/2006/relationships/revisionLog" Target="revisionLog128.xml"/><Relationship Id="rId157" Type="http://schemas.openxmlformats.org/officeDocument/2006/relationships/revisionLog" Target="revisionLog149.xml"/><Relationship Id="rId178" Type="http://schemas.openxmlformats.org/officeDocument/2006/relationships/revisionLog" Target="revisionLog170.xml"/><Relationship Id="rId301" Type="http://schemas.openxmlformats.org/officeDocument/2006/relationships/revisionLog" Target="revisionLog14.xml"/><Relationship Id="rId322" Type="http://schemas.openxmlformats.org/officeDocument/2006/relationships/revisionLog" Target="revisionLog306.xml"/><Relationship Id="rId343" Type="http://schemas.openxmlformats.org/officeDocument/2006/relationships/revisionLog" Target="revisionLog327.xml"/><Relationship Id="rId364" Type="http://schemas.openxmlformats.org/officeDocument/2006/relationships/revisionLog" Target="revisionLog348.xml"/><Relationship Id="rId61" Type="http://schemas.openxmlformats.org/officeDocument/2006/relationships/revisionLog" Target="revisionLog53.xml"/><Relationship Id="rId82" Type="http://schemas.openxmlformats.org/officeDocument/2006/relationships/revisionLog" Target="revisionLog74.xml"/><Relationship Id="rId199" Type="http://schemas.openxmlformats.org/officeDocument/2006/relationships/revisionLog" Target="revisionLog191.xml"/><Relationship Id="rId203" Type="http://schemas.openxmlformats.org/officeDocument/2006/relationships/revisionLog" Target="revisionLog194.xml"/><Relationship Id="rId385" Type="http://schemas.openxmlformats.org/officeDocument/2006/relationships/revisionLog" Target="revisionLog369.xml"/><Relationship Id="rId19" Type="http://schemas.openxmlformats.org/officeDocument/2006/relationships/revisionLog" Target="revisionLog134.xml"/><Relationship Id="rId224" Type="http://schemas.openxmlformats.org/officeDocument/2006/relationships/revisionLog" Target="revisionLog215.xml"/><Relationship Id="rId245" Type="http://schemas.openxmlformats.org/officeDocument/2006/relationships/revisionLog" Target="revisionLog236.xml"/><Relationship Id="rId266" Type="http://schemas.openxmlformats.org/officeDocument/2006/relationships/revisionLog" Target="revisionLog257.xml"/><Relationship Id="rId287" Type="http://schemas.openxmlformats.org/officeDocument/2006/relationships/revisionLog" Target="revisionLog278.xml"/><Relationship Id="rId410" Type="http://schemas.openxmlformats.org/officeDocument/2006/relationships/revisionLog" Target="revisionLog394.xml"/><Relationship Id="rId431" Type="http://schemas.openxmlformats.org/officeDocument/2006/relationships/revisionLog" Target="revisionLog415.xml"/><Relationship Id="rId452" Type="http://schemas.openxmlformats.org/officeDocument/2006/relationships/revisionLog" Target="revisionLog436.xml"/><Relationship Id="rId30" Type="http://schemas.openxmlformats.org/officeDocument/2006/relationships/revisionLog" Target="revisionLog22.xml"/><Relationship Id="rId105" Type="http://schemas.openxmlformats.org/officeDocument/2006/relationships/revisionLog" Target="revisionLog97.xml"/><Relationship Id="rId126" Type="http://schemas.openxmlformats.org/officeDocument/2006/relationships/revisionLog" Target="revisionLog116.xml"/><Relationship Id="rId147" Type="http://schemas.openxmlformats.org/officeDocument/2006/relationships/revisionLog" Target="revisionLog139.xml"/><Relationship Id="rId168" Type="http://schemas.openxmlformats.org/officeDocument/2006/relationships/revisionLog" Target="revisionLog160.xml"/><Relationship Id="rId312" Type="http://schemas.openxmlformats.org/officeDocument/2006/relationships/revisionLog" Target="revisionLog296.xml"/><Relationship Id="rId333" Type="http://schemas.openxmlformats.org/officeDocument/2006/relationships/revisionLog" Target="revisionLog317.xml"/><Relationship Id="rId354" Type="http://schemas.openxmlformats.org/officeDocument/2006/relationships/revisionLog" Target="revisionLog338.xml"/><Relationship Id="rId51" Type="http://schemas.openxmlformats.org/officeDocument/2006/relationships/revisionLog" Target="revisionLog43.xml"/><Relationship Id="rId72" Type="http://schemas.openxmlformats.org/officeDocument/2006/relationships/revisionLog" Target="revisionLog64.xml"/><Relationship Id="rId93" Type="http://schemas.openxmlformats.org/officeDocument/2006/relationships/revisionLog" Target="revisionLog85.xml"/><Relationship Id="rId189" Type="http://schemas.openxmlformats.org/officeDocument/2006/relationships/revisionLog" Target="revisionLog181.xml"/><Relationship Id="rId375" Type="http://schemas.openxmlformats.org/officeDocument/2006/relationships/revisionLog" Target="revisionLog359.xml"/><Relationship Id="rId396" Type="http://schemas.openxmlformats.org/officeDocument/2006/relationships/revisionLog" Target="revisionLog380.xml"/><Relationship Id="rId214" Type="http://schemas.openxmlformats.org/officeDocument/2006/relationships/revisionLog" Target="revisionLog205.xml"/><Relationship Id="rId235" Type="http://schemas.openxmlformats.org/officeDocument/2006/relationships/revisionLog" Target="revisionLog226.xml"/><Relationship Id="rId256" Type="http://schemas.openxmlformats.org/officeDocument/2006/relationships/revisionLog" Target="revisionLog247.xml"/><Relationship Id="rId277" Type="http://schemas.openxmlformats.org/officeDocument/2006/relationships/revisionLog" Target="revisionLog268.xml"/><Relationship Id="rId298" Type="http://schemas.openxmlformats.org/officeDocument/2006/relationships/revisionLog" Target="revisionLog18.xml"/><Relationship Id="rId400" Type="http://schemas.openxmlformats.org/officeDocument/2006/relationships/revisionLog" Target="revisionLog384.xml"/><Relationship Id="rId421" Type="http://schemas.openxmlformats.org/officeDocument/2006/relationships/revisionLog" Target="revisionLog405.xml"/><Relationship Id="rId442" Type="http://schemas.openxmlformats.org/officeDocument/2006/relationships/revisionLog" Target="revisionLog426.xml"/><Relationship Id="rId463" Type="http://schemas.openxmlformats.org/officeDocument/2006/relationships/revisionLog" Target="revisionLog446.xml"/><Relationship Id="rId116" Type="http://schemas.openxmlformats.org/officeDocument/2006/relationships/revisionLog" Target="revisionLog108.xml"/><Relationship Id="rId137" Type="http://schemas.openxmlformats.org/officeDocument/2006/relationships/revisionLog" Target="revisionLog129.xml"/><Relationship Id="rId158" Type="http://schemas.openxmlformats.org/officeDocument/2006/relationships/revisionLog" Target="revisionLog150.xml"/><Relationship Id="rId302" Type="http://schemas.openxmlformats.org/officeDocument/2006/relationships/revisionLog" Target="revisionLog19.xml"/><Relationship Id="rId323" Type="http://schemas.openxmlformats.org/officeDocument/2006/relationships/revisionLog" Target="revisionLog307.xml"/><Relationship Id="rId344" Type="http://schemas.openxmlformats.org/officeDocument/2006/relationships/revisionLog" Target="revisionLog328.xml"/><Relationship Id="rId20" Type="http://schemas.openxmlformats.org/officeDocument/2006/relationships/revisionLog" Target="revisionLog1451.xml"/><Relationship Id="rId41" Type="http://schemas.openxmlformats.org/officeDocument/2006/relationships/revisionLog" Target="revisionLog33.xml"/><Relationship Id="rId62" Type="http://schemas.openxmlformats.org/officeDocument/2006/relationships/revisionLog" Target="revisionLog54.xml"/><Relationship Id="rId83" Type="http://schemas.openxmlformats.org/officeDocument/2006/relationships/revisionLog" Target="revisionLog75.xml"/><Relationship Id="rId179" Type="http://schemas.openxmlformats.org/officeDocument/2006/relationships/revisionLog" Target="revisionLog171.xml"/><Relationship Id="rId365" Type="http://schemas.openxmlformats.org/officeDocument/2006/relationships/revisionLog" Target="revisionLog349.xml"/><Relationship Id="rId386" Type="http://schemas.openxmlformats.org/officeDocument/2006/relationships/revisionLog" Target="revisionLog370.xml"/><Relationship Id="rId190" Type="http://schemas.openxmlformats.org/officeDocument/2006/relationships/revisionLog" Target="revisionLog1821.xml"/><Relationship Id="rId204" Type="http://schemas.openxmlformats.org/officeDocument/2006/relationships/revisionLog" Target="revisionLog195.xml"/><Relationship Id="rId225" Type="http://schemas.openxmlformats.org/officeDocument/2006/relationships/revisionLog" Target="revisionLog216.xml"/><Relationship Id="rId246" Type="http://schemas.openxmlformats.org/officeDocument/2006/relationships/revisionLog" Target="revisionLog237.xml"/><Relationship Id="rId267" Type="http://schemas.openxmlformats.org/officeDocument/2006/relationships/revisionLog" Target="revisionLog258.xml"/><Relationship Id="rId288" Type="http://schemas.openxmlformats.org/officeDocument/2006/relationships/revisionLog" Target="revisionLog279.xml"/><Relationship Id="rId411" Type="http://schemas.openxmlformats.org/officeDocument/2006/relationships/revisionLog" Target="revisionLog395.xml"/><Relationship Id="rId432" Type="http://schemas.openxmlformats.org/officeDocument/2006/relationships/revisionLog" Target="revisionLog416.xml"/><Relationship Id="rId453" Type="http://schemas.openxmlformats.org/officeDocument/2006/relationships/revisionLog" Target="revisionLog437.xml"/><Relationship Id="rId106" Type="http://schemas.openxmlformats.org/officeDocument/2006/relationships/revisionLog" Target="revisionLog98.xml"/><Relationship Id="rId127" Type="http://schemas.openxmlformats.org/officeDocument/2006/relationships/revisionLog" Target="revisionLog117.xml"/><Relationship Id="rId313" Type="http://schemas.openxmlformats.org/officeDocument/2006/relationships/revisionLog" Target="revisionLog297.xml"/><Relationship Id="rId10" Type="http://schemas.openxmlformats.org/officeDocument/2006/relationships/revisionLog" Target="revisionLog1211.xml"/><Relationship Id="rId31" Type="http://schemas.openxmlformats.org/officeDocument/2006/relationships/revisionLog" Target="revisionLog23.xml"/><Relationship Id="rId52" Type="http://schemas.openxmlformats.org/officeDocument/2006/relationships/revisionLog" Target="revisionLog44.xml"/><Relationship Id="rId73" Type="http://schemas.openxmlformats.org/officeDocument/2006/relationships/revisionLog" Target="revisionLog65.xml"/><Relationship Id="rId94" Type="http://schemas.openxmlformats.org/officeDocument/2006/relationships/revisionLog" Target="revisionLog86.xml"/><Relationship Id="rId148" Type="http://schemas.openxmlformats.org/officeDocument/2006/relationships/revisionLog" Target="revisionLog140.xml"/><Relationship Id="rId169" Type="http://schemas.openxmlformats.org/officeDocument/2006/relationships/revisionLog" Target="revisionLog161.xml"/><Relationship Id="rId334" Type="http://schemas.openxmlformats.org/officeDocument/2006/relationships/revisionLog" Target="revisionLog318.xml"/><Relationship Id="rId355" Type="http://schemas.openxmlformats.org/officeDocument/2006/relationships/revisionLog" Target="revisionLog339.xml"/><Relationship Id="rId376" Type="http://schemas.openxmlformats.org/officeDocument/2006/relationships/revisionLog" Target="revisionLog360.xml"/><Relationship Id="rId397" Type="http://schemas.openxmlformats.org/officeDocument/2006/relationships/revisionLog" Target="revisionLog381.xml"/><Relationship Id="rId180" Type="http://schemas.openxmlformats.org/officeDocument/2006/relationships/revisionLog" Target="revisionLog172.xml"/><Relationship Id="rId215" Type="http://schemas.openxmlformats.org/officeDocument/2006/relationships/revisionLog" Target="revisionLog206.xml"/><Relationship Id="rId236" Type="http://schemas.openxmlformats.org/officeDocument/2006/relationships/revisionLog" Target="revisionLog227.xml"/><Relationship Id="rId257" Type="http://schemas.openxmlformats.org/officeDocument/2006/relationships/revisionLog" Target="revisionLog248.xml"/><Relationship Id="rId278" Type="http://schemas.openxmlformats.org/officeDocument/2006/relationships/revisionLog" Target="revisionLog269.xml"/><Relationship Id="rId401" Type="http://schemas.openxmlformats.org/officeDocument/2006/relationships/revisionLog" Target="revisionLog385.xml"/><Relationship Id="rId422" Type="http://schemas.openxmlformats.org/officeDocument/2006/relationships/revisionLog" Target="revisionLog406.xml"/><Relationship Id="rId443" Type="http://schemas.openxmlformats.org/officeDocument/2006/relationships/revisionLog" Target="revisionLog427.xml"/><Relationship Id="rId464" Type="http://schemas.openxmlformats.org/officeDocument/2006/relationships/revisionLog" Target="revisionLog447.xml"/><Relationship Id="rId303" Type="http://schemas.openxmlformats.org/officeDocument/2006/relationships/revisionLog" Target="revisionLog288.xml"/><Relationship Id="rId42" Type="http://schemas.openxmlformats.org/officeDocument/2006/relationships/revisionLog" Target="revisionLog34.xml"/><Relationship Id="rId84" Type="http://schemas.openxmlformats.org/officeDocument/2006/relationships/revisionLog" Target="revisionLog76.xml"/><Relationship Id="rId138" Type="http://schemas.openxmlformats.org/officeDocument/2006/relationships/revisionLog" Target="revisionLog130.xml"/><Relationship Id="rId345" Type="http://schemas.openxmlformats.org/officeDocument/2006/relationships/revisionLog" Target="revisionLog329.xml"/><Relationship Id="rId387" Type="http://schemas.openxmlformats.org/officeDocument/2006/relationships/revisionLog" Target="revisionLog371.xml"/><Relationship Id="rId191" Type="http://schemas.openxmlformats.org/officeDocument/2006/relationships/revisionLog" Target="revisionLog183.xml"/><Relationship Id="rId205" Type="http://schemas.openxmlformats.org/officeDocument/2006/relationships/revisionLog" Target="revisionLog196.xml"/><Relationship Id="rId247" Type="http://schemas.openxmlformats.org/officeDocument/2006/relationships/revisionLog" Target="revisionLog238.xml"/><Relationship Id="rId412" Type="http://schemas.openxmlformats.org/officeDocument/2006/relationships/revisionLog" Target="revisionLog396.xml"/><Relationship Id="rId107" Type="http://schemas.openxmlformats.org/officeDocument/2006/relationships/revisionLog" Target="revisionLog99.xml"/><Relationship Id="rId289" Type="http://schemas.openxmlformats.org/officeDocument/2006/relationships/revisionLog" Target="revisionLog280.xml"/><Relationship Id="rId454" Type="http://schemas.openxmlformats.org/officeDocument/2006/relationships/revisionLog" Target="revisionLog438.xml"/><Relationship Id="rId11" Type="http://schemas.openxmlformats.org/officeDocument/2006/relationships/revisionLog" Target="revisionLog121.xml"/><Relationship Id="rId53" Type="http://schemas.openxmlformats.org/officeDocument/2006/relationships/revisionLog" Target="revisionLog45.xml"/><Relationship Id="rId149" Type="http://schemas.openxmlformats.org/officeDocument/2006/relationships/revisionLog" Target="revisionLog141.xml"/><Relationship Id="rId314" Type="http://schemas.openxmlformats.org/officeDocument/2006/relationships/revisionLog" Target="revisionLog298.xml"/><Relationship Id="rId356" Type="http://schemas.openxmlformats.org/officeDocument/2006/relationships/revisionLog" Target="revisionLog340.xml"/><Relationship Id="rId398" Type="http://schemas.openxmlformats.org/officeDocument/2006/relationships/revisionLog" Target="revisionLog382.xml"/><Relationship Id="rId95" Type="http://schemas.openxmlformats.org/officeDocument/2006/relationships/revisionLog" Target="revisionLog87.xml"/><Relationship Id="rId160" Type="http://schemas.openxmlformats.org/officeDocument/2006/relationships/revisionLog" Target="revisionLog152.xml"/><Relationship Id="rId216" Type="http://schemas.openxmlformats.org/officeDocument/2006/relationships/revisionLog" Target="revisionLog207.xml"/><Relationship Id="rId423" Type="http://schemas.openxmlformats.org/officeDocument/2006/relationships/revisionLog" Target="revisionLog407.xml"/><Relationship Id="rId258" Type="http://schemas.openxmlformats.org/officeDocument/2006/relationships/revisionLog" Target="revisionLog249.xml"/><Relationship Id="rId22" Type="http://schemas.openxmlformats.org/officeDocument/2006/relationships/revisionLog" Target="revisionLog111.xml"/><Relationship Id="rId64" Type="http://schemas.openxmlformats.org/officeDocument/2006/relationships/revisionLog" Target="revisionLog56.xml"/><Relationship Id="rId118" Type="http://schemas.openxmlformats.org/officeDocument/2006/relationships/revisionLog" Target="revisionLog122.xml"/><Relationship Id="rId325" Type="http://schemas.openxmlformats.org/officeDocument/2006/relationships/revisionLog" Target="revisionLog309.xml"/><Relationship Id="rId367" Type="http://schemas.openxmlformats.org/officeDocument/2006/relationships/revisionLog" Target="revisionLog351.xml"/><Relationship Id="rId171" Type="http://schemas.openxmlformats.org/officeDocument/2006/relationships/revisionLog" Target="revisionLog163.xml"/><Relationship Id="rId227" Type="http://schemas.openxmlformats.org/officeDocument/2006/relationships/revisionLog" Target="revisionLog218.xml"/><Relationship Id="rId269" Type="http://schemas.openxmlformats.org/officeDocument/2006/relationships/revisionLog" Target="revisionLog260.xml"/><Relationship Id="rId434" Type="http://schemas.openxmlformats.org/officeDocument/2006/relationships/revisionLog" Target="revisionLog418.xml"/><Relationship Id="rId33" Type="http://schemas.openxmlformats.org/officeDocument/2006/relationships/revisionLog" Target="revisionLog25.xml"/><Relationship Id="rId129" Type="http://schemas.openxmlformats.org/officeDocument/2006/relationships/revisionLog" Target="revisionLog119.xml"/><Relationship Id="rId280" Type="http://schemas.openxmlformats.org/officeDocument/2006/relationships/revisionLog" Target="revisionLog271.xml"/><Relationship Id="rId336" Type="http://schemas.openxmlformats.org/officeDocument/2006/relationships/revisionLog" Target="revisionLog320.xml"/><Relationship Id="rId75" Type="http://schemas.openxmlformats.org/officeDocument/2006/relationships/revisionLog" Target="revisionLog67.xml"/><Relationship Id="rId140" Type="http://schemas.openxmlformats.org/officeDocument/2006/relationships/revisionLog" Target="revisionLog1321.xml"/><Relationship Id="rId182" Type="http://schemas.openxmlformats.org/officeDocument/2006/relationships/revisionLog" Target="revisionLog174.xml"/><Relationship Id="rId378" Type="http://schemas.openxmlformats.org/officeDocument/2006/relationships/revisionLog" Target="revisionLog362.xml"/><Relationship Id="rId403" Type="http://schemas.openxmlformats.org/officeDocument/2006/relationships/revisionLog" Target="revisionLog387.xml"/><Relationship Id="rId6" Type="http://schemas.openxmlformats.org/officeDocument/2006/relationships/revisionLog" Target="revisionLog6.xml"/><Relationship Id="rId238" Type="http://schemas.openxmlformats.org/officeDocument/2006/relationships/revisionLog" Target="revisionLog229.xml"/><Relationship Id="rId445" Type="http://schemas.openxmlformats.org/officeDocument/2006/relationships/revisionLog" Target="revisionLog42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9EBB81C-0D77-44FE-9C68-8051F350AA43}" diskRevisions="1" revisionId="8169" version="459">
  <header guid="{23465155-9D86-4123-B8B6-780618B828F3}" dateTime="2024-01-23T10:20:01" maxSheetId="2" userName="Молчанова Елена Валерьевна" r:id="rId6" minRId="2461" maxRId="2567">
    <sheetIdMap count="1">
      <sheetId val="1"/>
    </sheetIdMap>
  </header>
  <header guid="{78854DC3-3AFD-448B-8455-FE345F9BA472}" dateTime="2024-01-23T10:24:03" maxSheetId="2" userName="Молчанова Елена Валерьевна" r:id="rId7" minRId="2568">
    <sheetIdMap count="1">
      <sheetId val="1"/>
    </sheetIdMap>
  </header>
  <header guid="{0B9CCE9E-D5BE-4CDF-BD1D-5755775E3127}" dateTime="2024-01-23T10:54:21" maxSheetId="2" userName="Молчанова Елена Валерьевна" r:id="rId8" minRId="2570" maxRId="2596">
    <sheetIdMap count="1">
      <sheetId val="1"/>
    </sheetIdMap>
  </header>
  <header guid="{0600CAD4-5936-47CD-B4DD-701DB82E2315}" dateTime="2024-01-23T12:24:31" maxSheetId="2" userName="Молчанова Елена Валерьевна" r:id="rId9" minRId="2598" maxRId="2685">
    <sheetIdMap count="1">
      <sheetId val="1"/>
    </sheetIdMap>
  </header>
  <header guid="{ED951805-07D8-4C40-BFF7-22644DC17261}" dateTime="2024-01-23T12:38:21" maxSheetId="2" userName="Молчанова Елена Валерьевна" r:id="rId10" minRId="2687">
    <sheetIdMap count="1">
      <sheetId val="1"/>
    </sheetIdMap>
  </header>
  <header guid="{8BD4C38E-B172-446C-B4EC-869040C778B5}" dateTime="2024-01-23T15:25:06" maxSheetId="2" userName="Молчанова Елена Валерьевна" r:id="rId11" minRId="2689" maxRId="2710">
    <sheetIdMap count="1">
      <sheetId val="1"/>
    </sheetIdMap>
  </header>
  <header guid="{D852EFC8-A019-45B6-8FA0-2CD7413D8979}" dateTime="2024-01-23T16:29:36" maxSheetId="2" userName="Молчанова Елена Валерьевна" r:id="rId12" minRId="2712" maxRId="2723">
    <sheetIdMap count="1">
      <sheetId val="1"/>
    </sheetIdMap>
  </header>
  <header guid="{EAA151E7-24F9-4500-B83C-D69E088450D3}" dateTime="2024-01-29T11:59:12" maxSheetId="2" userName="Латышева Ольга Яковлевна" r:id="rId13" minRId="2725">
    <sheetIdMap count="1">
      <sheetId val="1"/>
    </sheetIdMap>
  </header>
  <header guid="{6B9B9213-09C6-4E84-B5B1-B04FEF6E2B2B}" dateTime="2024-01-29T12:22:24" maxSheetId="2" userName="Латышева Ольга Яковлевна" r:id="rId14" minRId="2729" maxRId="2740">
    <sheetIdMap count="1">
      <sheetId val="1"/>
    </sheetIdMap>
  </header>
  <header guid="{F8B14146-B8C5-4688-9955-70111A156A2B}" dateTime="2024-01-30T16:26:27" maxSheetId="2" userName="Латышева Ольга Яковлевна" r:id="rId15" minRId="2744" maxRId="2770">
    <sheetIdMap count="1">
      <sheetId val="1"/>
    </sheetIdMap>
  </header>
  <header guid="{FDEAFE00-59D8-42A2-BD26-8367E3B827F3}" dateTime="2024-01-30T16:28:37" maxSheetId="2" userName="Латышева Ольга Яковлевна" r:id="rId16" minRId="2774" maxRId="2776">
    <sheetIdMap count="1">
      <sheetId val="1"/>
    </sheetIdMap>
  </header>
  <header guid="{1B8576F0-D646-4319-8AF0-6D2776C3C5EA}" dateTime="2024-01-30T16:29:19" maxSheetId="2" userName="Латышева Ольга Яковлевна" r:id="rId17" minRId="2777">
    <sheetIdMap count="1">
      <sheetId val="1"/>
    </sheetIdMap>
  </header>
  <header guid="{34A2E863-2C34-4BB7-A928-9407ABF90734}" dateTime="2024-01-30T16:35:43" maxSheetId="2" userName="Латышева Ольга Яковлевна" r:id="rId18" minRId="2778">
    <sheetIdMap count="1">
      <sheetId val="1"/>
    </sheetIdMap>
  </header>
  <header guid="{66798DA1-9354-4CE2-BCC6-46847EE237F2}" dateTime="2024-01-30T16:40:26" maxSheetId="2" userName="Латышева Ольга Яковлевна" r:id="rId19" minRId="2779" maxRId="2802">
    <sheetIdMap count="1">
      <sheetId val="1"/>
    </sheetIdMap>
  </header>
  <header guid="{A92A034C-CA08-44B7-BBE3-0755D7E35E46}" dateTime="2024-01-30T16:45:24" maxSheetId="2" userName="Латышева Ольга Яковлевна" r:id="rId20">
    <sheetIdMap count="1">
      <sheetId val="1"/>
    </sheetIdMap>
  </header>
  <header guid="{D0E1C4BF-EDAF-4618-B571-FDED1B1352A4}" dateTime="2024-02-02T14:57:20" maxSheetId="2" userName="Латышева Ольга Яковлевна" r:id="rId21">
    <sheetIdMap count="1">
      <sheetId val="1"/>
    </sheetIdMap>
  </header>
  <header guid="{4C0D1106-43D6-4C30-9E20-ED2DD178A972}" dateTime="2024-02-05T11:10:47" maxSheetId="2" userName="Молчанова Елена Валерьевна" r:id="rId22" minRId="2812" maxRId="2813">
    <sheetIdMap count="1">
      <sheetId val="1"/>
    </sheetIdMap>
  </header>
  <header guid="{68203067-6F10-41AF-A936-ACAB199C5B9A}" dateTime="2024-02-13T12:48:09" maxSheetId="2" userName="Латышева Ольга Яковлевна" r:id="rId23">
    <sheetIdMap count="1">
      <sheetId val="1"/>
    </sheetIdMap>
  </header>
  <header guid="{EE675710-BB1C-4E07-9685-55B66D58CDEE}" dateTime="2024-02-13T12:52:02" maxSheetId="2" userName="Латышева Ольга Яковлевна" r:id="rId24">
    <sheetIdMap count="1">
      <sheetId val="1"/>
    </sheetIdMap>
  </header>
  <header guid="{ADD40FDD-3FF1-4212-ACFF-882E91A775D3}" dateTime="2024-02-14T15:50:26" maxSheetId="2" userName="Третьякова Елена Владимировна" r:id="rId25" minRId="2821" maxRId="2823">
    <sheetIdMap count="1">
      <sheetId val="1"/>
    </sheetIdMap>
  </header>
  <header guid="{41DCCBDA-CD78-4987-9362-DA584413CAE8}" dateTime="2024-03-27T16:48:50" maxSheetId="2" userName="Третьякова Елена Владимировна" r:id="rId26" minRId="2827" maxRId="2828">
    <sheetIdMap count="1">
      <sheetId val="1"/>
    </sheetIdMap>
  </header>
  <header guid="{4F30D266-FEA2-4BD1-9A2F-FCB69137FFD0}" dateTime="2024-03-29T09:01:33" maxSheetId="2" userName="Третьякова Елена Владимировна" r:id="rId27" minRId="2832" maxRId="2849">
    <sheetIdMap count="1">
      <sheetId val="1"/>
    </sheetIdMap>
  </header>
  <header guid="{26FD59A0-B91E-4F90-92C7-3E83E56C8C60}" dateTime="2024-03-29T09:02:52" maxSheetId="2" userName="Третьякова Елена Владимировна" r:id="rId28" minRId="2853" maxRId="2856">
    <sheetIdMap count="1">
      <sheetId val="1"/>
    </sheetIdMap>
  </header>
  <header guid="{5395BB13-B799-43F4-B478-C396154E1C82}" dateTime="2024-03-29T09:04:46" maxSheetId="2" userName="Третьякова Елена Владимировна" r:id="rId29" minRId="2857" maxRId="2874">
    <sheetIdMap count="1">
      <sheetId val="1"/>
    </sheetIdMap>
  </header>
  <header guid="{6A9DE728-C463-4D4E-A668-AC39180BEF12}" dateTime="2024-03-29T09:07:19" maxSheetId="2" userName="Третьякова Елена Владимировна" r:id="rId30" minRId="2878" maxRId="2910">
    <sheetIdMap count="1">
      <sheetId val="1"/>
    </sheetIdMap>
  </header>
  <header guid="{1F15BF8C-A19C-45FA-A862-CF486CF5D2C4}" dateTime="2024-03-29T09:07:50" maxSheetId="2" userName="Третьякова Елена Владимировна" r:id="rId31" minRId="2914" maxRId="2916">
    <sheetIdMap count="1">
      <sheetId val="1"/>
    </sheetIdMap>
  </header>
  <header guid="{8CC719BC-7C34-49C3-9083-4C61FE43CF05}" dateTime="2024-03-29T09:08:11" maxSheetId="2" userName="Третьякова Елена Владимировна" r:id="rId32" minRId="2917" maxRId="2925">
    <sheetIdMap count="1">
      <sheetId val="1"/>
    </sheetIdMap>
  </header>
  <header guid="{B820CF74-27D8-48DC-8AF2-377271D6571D}" dateTime="2024-03-29T09:13:35" maxSheetId="2" userName="Третьякова Елена Владимировна" r:id="rId33" minRId="2926" maxRId="2977">
    <sheetIdMap count="1">
      <sheetId val="1"/>
    </sheetIdMap>
  </header>
  <header guid="{9AAA7DA6-6E3D-4E1C-92C9-68971D4F6FEE}" dateTime="2024-03-29T09:15:44" maxSheetId="2" userName="Третьякова Елена Владимировна" r:id="rId34" minRId="2981" maxRId="2992">
    <sheetIdMap count="1">
      <sheetId val="1"/>
    </sheetIdMap>
  </header>
  <header guid="{7A6C755E-6DAB-4796-B3FF-9D10F398174F}" dateTime="2024-03-29T09:20:10" maxSheetId="2" userName="Третьякова Елена Владимировна" r:id="rId35" minRId="2996" maxRId="3035">
    <sheetIdMap count="1">
      <sheetId val="1"/>
    </sheetIdMap>
  </header>
  <header guid="{C6852DF4-6A1D-40E1-B8DD-F5C352C2E284}" dateTime="2024-03-29T09:22:17" maxSheetId="2" userName="Третьякова Елена Владимировна" r:id="rId36" minRId="3039" maxRId="3065">
    <sheetIdMap count="1">
      <sheetId val="1"/>
    </sheetIdMap>
  </header>
  <header guid="{2F5E5448-B3C5-407E-B5CF-9AC19D22EF43}" dateTime="2024-03-29T09:24:36" maxSheetId="2" userName="Третьякова Елена Владимировна" r:id="rId37" minRId="3069" maxRId="3095">
    <sheetIdMap count="1">
      <sheetId val="1"/>
    </sheetIdMap>
  </header>
  <header guid="{1CBACE8F-0E05-43CF-98E8-1EC703BFB33A}" dateTime="2024-03-29T09:41:00" maxSheetId="2" userName="Третьякова Елена Владимировна" r:id="rId38" minRId="3096" maxRId="3122">
    <sheetIdMap count="1">
      <sheetId val="1"/>
    </sheetIdMap>
  </header>
  <header guid="{7157FE20-2C8F-4679-A351-92B799BC4339}" dateTime="2024-03-29T09:45:21" maxSheetId="2" userName="Третьякова Елена Владимировна" r:id="rId39" minRId="3126" maxRId="3155">
    <sheetIdMap count="1">
      <sheetId val="1"/>
    </sheetIdMap>
  </header>
  <header guid="{76879412-D78C-4BE3-8C6F-D2FB3796BF5B}" dateTime="2024-03-29T09:45:51" maxSheetId="2" userName="Третьякова Елена Владимировна" r:id="rId40" minRId="3156" maxRId="3158">
    <sheetIdMap count="1">
      <sheetId val="1"/>
    </sheetIdMap>
  </header>
  <header guid="{05E11260-45C7-40C0-9747-BCCEC80217E7}" dateTime="2024-03-29T09:50:29" maxSheetId="2" userName="Третьякова Елена Владимировна" r:id="rId41" minRId="3159" maxRId="3185">
    <sheetIdMap count="1">
      <sheetId val="1"/>
    </sheetIdMap>
  </header>
  <header guid="{EB659076-97A4-4342-B4DC-8F0FA204BCAB}" dateTime="2024-03-29T09:51:16" maxSheetId="2" userName="Третьякова Елена Владимировна" r:id="rId42" minRId="3189" maxRId="3192">
    <sheetIdMap count="1">
      <sheetId val="1"/>
    </sheetIdMap>
  </header>
  <header guid="{D9F14560-A7CD-44CD-A26F-6FE6F53F28C1}" dateTime="2024-03-29T09:55:38" maxSheetId="2" userName="Третьякова Елена Владимировна" r:id="rId43" minRId="3193" maxRId="3219">
    <sheetIdMap count="1">
      <sheetId val="1"/>
    </sheetIdMap>
  </header>
  <header guid="{4592F739-4599-4406-9992-B7F16563317A}" dateTime="2024-03-29T09:56:38" maxSheetId="2" userName="Третьякова Елена Владимировна" r:id="rId44" minRId="3223" maxRId="3226">
    <sheetIdMap count="1">
      <sheetId val="1"/>
    </sheetIdMap>
  </header>
  <header guid="{C4BE0E14-3DE4-4B2B-A66A-0EA95DB509C5}" dateTime="2024-03-29T09:57:14" maxSheetId="2" userName="Третьякова Елена Владимировна" r:id="rId45" minRId="3230" maxRId="3233">
    <sheetIdMap count="1">
      <sheetId val="1"/>
    </sheetIdMap>
  </header>
  <header guid="{573FC185-E1D0-4051-926B-2DB038D72237}" dateTime="2024-03-29T09:59:28" maxSheetId="2" userName="Третьякова Елена Владимировна" r:id="rId46" minRId="3234" maxRId="3235">
    <sheetIdMap count="1">
      <sheetId val="1"/>
    </sheetIdMap>
  </header>
  <header guid="{8359D017-156C-4FFE-8691-647F0C2B6BAB}" dateTime="2024-03-29T10:12:18" maxSheetId="2" userName="Третьякова Елена Владимировна" r:id="rId47" minRId="3239" maxRId="3291">
    <sheetIdMap count="1">
      <sheetId val="1"/>
    </sheetIdMap>
  </header>
  <header guid="{A9E78CFA-967D-4B5C-A1CE-3D7C8397E334}" dateTime="2024-03-29T10:15:40" maxSheetId="2" userName="Третьякова Елена Владимировна" r:id="rId48" minRId="3295" maxRId="3321">
    <sheetIdMap count="1">
      <sheetId val="1"/>
    </sheetIdMap>
  </header>
  <header guid="{FB0762EF-7BAB-4BBB-9C08-A13DE66207DB}" dateTime="2024-03-29T10:18:22" maxSheetId="2" userName="Третьякова Елена Владимировна" r:id="rId49" minRId="3322" maxRId="3343">
    <sheetIdMap count="1">
      <sheetId val="1"/>
    </sheetIdMap>
  </header>
  <header guid="{0058DD1A-490C-44ED-8C43-1E3E47A5FA50}" dateTime="2024-03-29T10:27:46" maxSheetId="2" userName="Третьякова Елена Владимировна" r:id="rId50" minRId="3347" maxRId="3368">
    <sheetIdMap count="1">
      <sheetId val="1"/>
    </sheetIdMap>
  </header>
  <header guid="{8ABD33DD-B514-44ED-A677-C9294B14DBA6}" dateTime="2024-03-29T10:27:53" maxSheetId="2" userName="Третьякова Елена Владимировна" r:id="rId51">
    <sheetIdMap count="1">
      <sheetId val="1"/>
    </sheetIdMap>
  </header>
  <header guid="{6549A8E9-A6E7-44EE-BE11-194F88B3D4A3}" dateTime="2024-04-01T11:54:51" maxSheetId="2" userName="Третьякова Елена Владимировна" r:id="rId52" minRId="3372" maxRId="3436">
    <sheetIdMap count="1">
      <sheetId val="1"/>
    </sheetIdMap>
  </header>
  <header guid="{475EF2DE-FF4E-48B5-94CB-67C33EDB0AF1}" dateTime="2024-04-01T11:58:48" maxSheetId="2" userName="Третьякова Елена Владимировна" r:id="rId53" minRId="3440" maxRId="3459">
    <sheetIdMap count="1">
      <sheetId val="1"/>
    </sheetIdMap>
  </header>
  <header guid="{0E0AB3D9-7541-4F39-8A98-BB25F3A170CD}" dateTime="2024-04-01T11:58:54" maxSheetId="2" userName="Третьякова Елена Владимировна" r:id="rId54">
    <sheetIdMap count="1">
      <sheetId val="1"/>
    </sheetIdMap>
  </header>
  <header guid="{E22B3282-63E5-4F7F-92F0-383ACD28D522}" dateTime="2024-04-01T11:59:25" maxSheetId="2" userName="Третьякова Елена Владимировна" r:id="rId55" minRId="3463" maxRId="3474">
    <sheetIdMap count="1">
      <sheetId val="1"/>
    </sheetIdMap>
  </header>
  <header guid="{4E4BBCF2-2BCC-4CFD-9A4B-EA45A0E9E9B2}" dateTime="2024-04-01T12:06:50" maxSheetId="2" userName="Третьякова Елена Владимировна" r:id="rId56" minRId="3475" maxRId="3536">
    <sheetIdMap count="1">
      <sheetId val="1"/>
    </sheetIdMap>
  </header>
  <header guid="{ECF683C0-1548-4407-BCBA-72DA6919CCFE}" dateTime="2024-04-01T12:07:44" maxSheetId="2" userName="Третьякова Елена Владимировна" r:id="rId57">
    <sheetIdMap count="1">
      <sheetId val="1"/>
    </sheetIdMap>
  </header>
  <header guid="{A173E06F-1E8A-44F2-8567-DBFFBA46D07A}" dateTime="2024-04-01T12:23:02" maxSheetId="2" userName="Третьякова Елена Владимировна" r:id="rId58" minRId="3540" maxRId="3551">
    <sheetIdMap count="1">
      <sheetId val="1"/>
    </sheetIdMap>
  </header>
  <header guid="{6788F4E8-7562-4F07-94BA-0B1D1741AE84}" dateTime="2024-04-01T12:24:34" maxSheetId="2" userName="Третьякова Елена Владимировна" r:id="rId59" minRId="3555" maxRId="3573">
    <sheetIdMap count="1">
      <sheetId val="1"/>
    </sheetIdMap>
  </header>
  <header guid="{080B837C-B804-40C7-9814-BD329C26B6E0}" dateTime="2024-04-01T12:24:41" maxSheetId="2" userName="Третьякова Елена Владимировна" r:id="rId60">
    <sheetIdMap count="1">
      <sheetId val="1"/>
    </sheetIdMap>
  </header>
  <header guid="{573A625B-D417-4354-894D-CA7C26E51508}" dateTime="2024-04-02T10:50:15" maxSheetId="2" userName="Третьякова Елена Владимировна" r:id="rId61" minRId="3577" maxRId="3603">
    <sheetIdMap count="1">
      <sheetId val="1"/>
    </sheetIdMap>
  </header>
  <header guid="{079EF7BE-77B0-4450-9D53-36DB5A607153}" dateTime="2024-04-02T10:50:41" maxSheetId="2" userName="Третьякова Елена Владимировна" r:id="rId62" minRId="3607">
    <sheetIdMap count="1">
      <sheetId val="1"/>
    </sheetIdMap>
  </header>
  <header guid="{C3AF91EF-ECE2-4857-A10D-CA0A61383432}" dateTime="2024-04-02T15:53:37" maxSheetId="2" userName="Третьякова Елена Владимировна" r:id="rId63" minRId="3608" maxRId="3632">
    <sheetIdMap count="1">
      <sheetId val="1"/>
    </sheetIdMap>
  </header>
  <header guid="{B2D85D98-353F-48E2-8ED8-DB68EB983319}" dateTime="2024-04-02T16:02:30" maxSheetId="2" userName="Третьякова Елена Владимировна" r:id="rId64" minRId="3636" maxRId="3666">
    <sheetIdMap count="1">
      <sheetId val="1"/>
    </sheetIdMap>
  </header>
  <header guid="{9FFDF787-24CD-40A6-8399-95600E3E9E99}" dateTime="2024-04-02T16:05:27" maxSheetId="2" userName="Третьякова Елена Владимировна" r:id="rId65" minRId="3670" maxRId="3682">
    <sheetIdMap count="1">
      <sheetId val="1"/>
    </sheetIdMap>
  </header>
  <header guid="{C48C7000-4AE8-433A-A296-73A20D10B929}" dateTime="2024-04-02T16:23:14" maxSheetId="2" userName="Третьякова Елена Владимировна" r:id="rId66" minRId="3683" maxRId="3695">
    <sheetIdMap count="1">
      <sheetId val="1"/>
    </sheetIdMap>
  </header>
  <header guid="{0BDDC6C7-DD00-44FC-BD26-BB0F4EAB71E3}" dateTime="2024-04-02T16:24:52" maxSheetId="2" userName="Третьякова Елена Владимировна" r:id="rId67" minRId="3696" maxRId="3697">
    <sheetIdMap count="1">
      <sheetId val="1"/>
    </sheetIdMap>
  </header>
  <header guid="{BE57178D-926C-4119-B7C2-10FF1DCC12C5}" dateTime="2024-04-02T16:32:21" maxSheetId="2" userName="Третьякова Елена Владимировна" r:id="rId68" minRId="3698" maxRId="3710">
    <sheetIdMap count="1">
      <sheetId val="1"/>
    </sheetIdMap>
  </header>
  <header guid="{42BCDC78-636F-4534-AEBB-021D181E5B6E}" dateTime="2024-04-02T16:34:40" maxSheetId="2" userName="Третьякова Елена Владимировна" r:id="rId69" minRId="3711" maxRId="3716">
    <sheetIdMap count="1">
      <sheetId val="1"/>
    </sheetIdMap>
  </header>
  <header guid="{4879F60E-CC8B-4497-BA87-F46E358DB570}" dateTime="2024-04-02T16:35:19" maxSheetId="2" userName="Третьякова Елена Владимировна" r:id="rId70" minRId="3717" maxRId="3718">
    <sheetIdMap count="1">
      <sheetId val="1"/>
    </sheetIdMap>
  </header>
  <header guid="{2671F273-A890-4D31-8ADC-417AC33228C3}" dateTime="2024-04-02T16:39:05" maxSheetId="2" userName="Третьякова Елена Владимировна" r:id="rId71" minRId="3719" maxRId="3722">
    <sheetIdMap count="1">
      <sheetId val="1"/>
    </sheetIdMap>
  </header>
  <header guid="{BA6EFC18-9553-419F-8ADF-6FFAB0EB4970}" dateTime="2024-04-02T16:42:43" maxSheetId="2" userName="Третьякова Елена Владимировна" r:id="rId72" minRId="3723" maxRId="3726">
    <sheetIdMap count="1">
      <sheetId val="1"/>
    </sheetIdMap>
  </header>
  <header guid="{818C42BB-11AB-4E51-A1EE-B34E7B2FFACC}" dateTime="2024-04-02T16:53:02" maxSheetId="2" userName="Третьякова Елена Владимировна" r:id="rId73" minRId="3727" maxRId="3743">
    <sheetIdMap count="1">
      <sheetId val="1"/>
    </sheetIdMap>
  </header>
  <header guid="{3E87FAEF-B295-4EE7-968C-03664D7A0A21}" dateTime="2024-04-02T17:03:21" maxSheetId="2" userName="Третьякова Елена Владимировна" r:id="rId74" minRId="3744" maxRId="3796">
    <sheetIdMap count="1">
      <sheetId val="1"/>
    </sheetIdMap>
  </header>
  <header guid="{DFCA4040-162D-4F10-B9BF-C41F6BC0DE8B}" dateTime="2024-04-02T17:06:00" maxSheetId="2" userName="Третьякова Елена Владимировна" r:id="rId75" minRId="3800" maxRId="3816">
    <sheetIdMap count="1">
      <sheetId val="1"/>
    </sheetIdMap>
  </header>
  <header guid="{8DE8D382-26CF-469C-A552-FAA12ED3FE72}" dateTime="2024-04-02T17:07:28" maxSheetId="2" userName="Третьякова Елена Владимировна" r:id="rId76" minRId="3820">
    <sheetIdMap count="1">
      <sheetId val="1"/>
    </sheetIdMap>
  </header>
  <header guid="{8FCF5546-F39C-4427-9D59-D14B398F27B6}" dateTime="2024-04-02T17:11:26" maxSheetId="2" userName="Третьякова Елена Владимировна" r:id="rId77" minRId="3821" maxRId="3824">
    <sheetIdMap count="1">
      <sheetId val="1"/>
    </sheetIdMap>
  </header>
  <header guid="{4E5FDB5F-B1A6-4D52-BD56-F29C965D2CED}" dateTime="2024-04-02T17:14:50" maxSheetId="2" userName="Третьякова Елена Владимировна" r:id="rId78" minRId="3825" maxRId="3828">
    <sheetIdMap count="1">
      <sheetId val="1"/>
    </sheetIdMap>
  </header>
  <header guid="{D6F74707-A8FA-4AA9-A09D-023BBD9E75A4}" dateTime="2024-04-02T17:17:36" maxSheetId="2" userName="Третьякова Елена Владимировна" r:id="rId79" minRId="3829">
    <sheetIdMap count="1">
      <sheetId val="1"/>
    </sheetIdMap>
  </header>
  <header guid="{A75CAC3F-DF81-46D1-99FA-0C757E37A578}" dateTime="2024-04-02T17:22:17" maxSheetId="2" userName="Третьякова Елена Владимировна" r:id="rId80" minRId="3833" maxRId="3839">
    <sheetIdMap count="1">
      <sheetId val="1"/>
    </sheetIdMap>
  </header>
  <header guid="{6EB7CF48-C528-40E4-82D7-74ECFCBD8F70}" dateTime="2024-04-02T17:26:07" maxSheetId="2" userName="Третьякова Елена Владимировна" r:id="rId81" minRId="3840" maxRId="3842">
    <sheetIdMap count="1">
      <sheetId val="1"/>
    </sheetIdMap>
  </header>
  <header guid="{303AE895-4059-4600-84DA-E5B469844DC7}" dateTime="2024-04-02T17:36:33" maxSheetId="2" userName="Третьякова Елена Владимировна" r:id="rId82" minRId="3843" maxRId="3844">
    <sheetIdMap count="1">
      <sheetId val="1"/>
    </sheetIdMap>
  </header>
  <header guid="{E1BAB8F0-39CB-4F39-8CB0-6F395B2E455E}" dateTime="2024-04-02T17:37:01" maxSheetId="2" userName="Третьякова Елена Владимировна" r:id="rId83" minRId="3845">
    <sheetIdMap count="1">
      <sheetId val="1"/>
    </sheetIdMap>
  </header>
  <header guid="{55468A0A-D8E8-4148-85B4-F9DE41DEB820}" dateTime="2024-04-04T10:47:27" maxSheetId="2" userName="Латышева Ольга Яковлевна" r:id="rId84" minRId="3846" maxRId="3847">
    <sheetIdMap count="1">
      <sheetId val="1"/>
    </sheetIdMap>
  </header>
  <header guid="{F0C42ABB-13CE-4ACD-9997-30AD847418CB}" dateTime="2024-04-18T15:45:58" maxSheetId="2" userName="Третьякова Елена Владимировна" r:id="rId85" minRId="3848">
    <sheetIdMap count="1">
      <sheetId val="1"/>
    </sheetIdMap>
  </header>
  <header guid="{07CB7283-F366-400C-9A4A-E38C948E4974}" dateTime="2024-04-18T15:52:05" maxSheetId="2" userName="Третьякова Елена Владимировна" r:id="rId86" minRId="3852">
    <sheetIdMap count="1">
      <sheetId val="1"/>
    </sheetIdMap>
  </header>
  <header guid="{E256629B-4EC0-4E7F-B729-5F307850FA17}" dateTime="2024-04-18T16:18:57" maxSheetId="2" userName="Третьякова Елена Владимировна" r:id="rId87" minRId="3856" maxRId="3858">
    <sheetIdMap count="1">
      <sheetId val="1"/>
    </sheetIdMap>
  </header>
  <header guid="{9D9BE75F-04B7-4B61-B8B5-F777E9DB0BA8}" dateTime="2024-04-18T16:23:36" maxSheetId="2" userName="Третьякова Елена Владимировна" r:id="rId88" minRId="3859">
    <sheetIdMap count="1">
      <sheetId val="1"/>
    </sheetIdMap>
  </header>
  <header guid="{8F21EFCB-D766-430B-BF93-686EA25160EC}" dateTime="2024-05-21T09:54:29" maxSheetId="2" userName="Третьякова Елена Владимировна" r:id="rId89" minRId="3860" maxRId="3886">
    <sheetIdMap count="1">
      <sheetId val="1"/>
    </sheetIdMap>
  </header>
  <header guid="{754A36F9-47A4-4A29-B61D-26C67F52E40A}" dateTime="2024-05-21T09:57:33" maxSheetId="2" userName="Третьякова Елена Владимировна" r:id="rId90" minRId="3890" maxRId="3916">
    <sheetIdMap count="1">
      <sheetId val="1"/>
    </sheetIdMap>
  </header>
  <header guid="{8EEE8555-0B44-4662-A223-09841D1144AE}" dateTime="2024-05-21T10:00:31" maxSheetId="2" userName="Третьякова Елена Владимировна" r:id="rId91" minRId="3920" maxRId="3946">
    <sheetIdMap count="1">
      <sheetId val="1"/>
    </sheetIdMap>
  </header>
  <header guid="{D0100334-3347-4F8E-B16A-F2FBC6169957}" dateTime="2024-05-21T10:04:41" maxSheetId="2" userName="Третьякова Елена Владимировна" r:id="rId92" minRId="3950" maxRId="3991">
    <sheetIdMap count="1">
      <sheetId val="1"/>
    </sheetIdMap>
  </header>
  <header guid="{2EE2BD7A-4E68-438E-83EF-907519464C7D}" dateTime="2024-05-21T10:10:13" maxSheetId="2" userName="Третьякова Елена Владимировна" r:id="rId93" minRId="3992" maxRId="4018">
    <sheetIdMap count="1">
      <sheetId val="1"/>
    </sheetIdMap>
  </header>
  <header guid="{A199C995-0693-4F4B-B1AD-6BF2FE17AC78}" dateTime="2024-05-21T10:13:14" maxSheetId="2" userName="Третьякова Елена Владимировна" r:id="rId94" minRId="4022" maxRId="4051">
    <sheetIdMap count="1">
      <sheetId val="1"/>
    </sheetIdMap>
  </header>
  <header guid="{870C84C3-859C-44C7-80EE-D27A877269BD}" dateTime="2024-05-21T10:13:34" maxSheetId="2" userName="Третьякова Елена Владимировна" r:id="rId95">
    <sheetIdMap count="1">
      <sheetId val="1"/>
    </sheetIdMap>
  </header>
  <header guid="{7AB12E61-211A-424E-9F16-B3A9A93D4A28}" dateTime="2024-05-21T10:14:28" maxSheetId="2" userName="Третьякова Елена Владимировна" r:id="rId96" minRId="4055" maxRId="4066">
    <sheetIdMap count="1">
      <sheetId val="1"/>
    </sheetIdMap>
  </header>
  <header guid="{68FCDEE4-E079-4EF8-A4EB-560F9876207F}" dateTime="2024-05-21T10:17:46" maxSheetId="2" userName="Третьякова Елена Владимировна" r:id="rId97" minRId="4067" maxRId="4096">
    <sheetIdMap count="1">
      <sheetId val="1"/>
    </sheetIdMap>
  </header>
  <header guid="{6658611B-EA00-4247-9893-EFE9B5CBA17F}" dateTime="2024-05-21T10:21:16" maxSheetId="2" userName="Третьякова Елена Владимировна" r:id="rId98" minRId="4100" maxRId="4114">
    <sheetIdMap count="1">
      <sheetId val="1"/>
    </sheetIdMap>
  </header>
  <header guid="{86409693-A551-44A3-A3EA-EFFC3580D8D0}" dateTime="2024-05-21T10:27:34" maxSheetId="2" userName="Третьякова Елена Владимировна" r:id="rId99" minRId="4115" maxRId="4141">
    <sheetIdMap count="1">
      <sheetId val="1"/>
    </sheetIdMap>
  </header>
  <header guid="{6E267191-EAB3-4EB2-A47F-CA57641ABF75}" dateTime="2024-05-21T10:45:25" maxSheetId="2" userName="Третьякова Елена Владимировна" r:id="rId100" minRId="4145" maxRId="4190">
    <sheetIdMap count="1">
      <sheetId val="1"/>
    </sheetIdMap>
  </header>
  <header guid="{F9212D6B-902A-4CFA-A877-A84AB25FD6A3}" dateTime="2024-05-21T12:17:03" maxSheetId="2" userName="Третьякова Елена Владимировна" r:id="rId101">
    <sheetIdMap count="1">
      <sheetId val="1"/>
    </sheetIdMap>
  </header>
  <header guid="{3909408C-6023-415B-A484-6EAA0A7D86FA}" dateTime="2024-05-23T09:20:21" maxSheetId="2" userName="Третьякова Елена Владимировна" r:id="rId102" minRId="4197">
    <sheetIdMap count="1">
      <sheetId val="1"/>
    </sheetIdMap>
  </header>
  <header guid="{FF71E19D-BC17-4FC9-854E-87FB78F3DC5A}" dateTime="2024-05-23T09:23:29" maxSheetId="2" userName="Третьякова Елена Владимировна" r:id="rId103" minRId="4200" maxRId="4218">
    <sheetIdMap count="1">
      <sheetId val="1"/>
    </sheetIdMap>
  </header>
  <header guid="{856DC05F-0695-4872-9E11-E70F51F9681E}" dateTime="2024-05-23T09:24:35" maxSheetId="2" userName="Третьякова Елена Владимировна" r:id="rId104" minRId="4221">
    <sheetIdMap count="1">
      <sheetId val="1"/>
    </sheetIdMap>
  </header>
  <header guid="{21BFAFDB-ED92-4F20-B888-CF3D8F908D27}" dateTime="2024-05-23T09:25:16" maxSheetId="2" userName="Третьякова Елена Владимировна" r:id="rId105" minRId="4224">
    <sheetIdMap count="1">
      <sheetId val="1"/>
    </sheetIdMap>
  </header>
  <header guid="{024637F6-B09C-497B-B3B1-704C948D8005}" dateTime="2024-05-23T09:26:34" maxSheetId="2" userName="Третьякова Елена Владимировна" r:id="rId106" minRId="4225">
    <sheetIdMap count="1">
      <sheetId val="1"/>
    </sheetIdMap>
  </header>
  <header guid="{625EB639-B01D-47EB-982C-71FCEFCB7E82}" dateTime="2024-05-23T09:27:13" maxSheetId="2" userName="Третьякова Елена Владимировна" r:id="rId107">
    <sheetIdMap count="1">
      <sheetId val="1"/>
    </sheetIdMap>
  </header>
  <header guid="{65C10AC6-0BB8-4380-85B9-62DE3EA8633A}" dateTime="2024-05-23T09:27:41" maxSheetId="2" userName="Третьякова Елена Владимировна" r:id="rId108" minRId="4230">
    <sheetIdMap count="1">
      <sheetId val="1"/>
    </sheetIdMap>
  </header>
  <header guid="{F3B6CA5A-3D55-4152-AB43-34D8C24BF991}" dateTime="2024-05-29T11:38:05" maxSheetId="2" userName="Третьякова Елена Владимировна" r:id="rId109" minRId="4231" maxRId="4272">
    <sheetIdMap count="1">
      <sheetId val="1"/>
    </sheetIdMap>
  </header>
  <header guid="{4A542AF5-5A2B-414A-B692-B7218567DD3C}" dateTime="2024-05-29T11:39:48" maxSheetId="2" userName="Третьякова Елена Владимировна" r:id="rId110" minRId="4275" maxRId="4289">
    <sheetIdMap count="1">
      <sheetId val="1"/>
    </sheetIdMap>
  </header>
  <header guid="{86106C70-235E-4BDA-841D-2CFA7060B348}" dateTime="2024-05-29T11:41:09" maxSheetId="2" userName="Третьякова Елена Владимировна" r:id="rId111" minRId="4292" maxRId="4309">
    <sheetIdMap count="1">
      <sheetId val="1"/>
    </sheetIdMap>
  </header>
  <header guid="{435EE333-9891-4916-B7CA-2199099BF73B}" dateTime="2024-05-29T11:42:28" maxSheetId="2" userName="Третьякова Елена Владимировна" r:id="rId112">
    <sheetIdMap count="1">
      <sheetId val="1"/>
    </sheetIdMap>
  </header>
  <header guid="{9B2BF1D9-D395-4864-9D86-76A422D35710}" dateTime="2024-05-29T15:46:25" maxSheetId="2" userName="Третьякова Елена Владимировна" r:id="rId113" minRId="4314" maxRId="4334">
    <sheetIdMap count="1">
      <sheetId val="1"/>
    </sheetIdMap>
  </header>
  <header guid="{A89224BF-915D-46A0-BB4B-E59CA8BFD9A1}" dateTime="2024-06-04T08:49:37" maxSheetId="2" userName="Третьякова Елена Владимировна" r:id="rId114" minRId="4337" maxRId="4363">
    <sheetIdMap count="1">
      <sheetId val="1"/>
    </sheetIdMap>
  </header>
  <header guid="{35D5B0C4-6C83-435E-8EDF-25DCE9BA7D3E}" dateTime="2024-06-04T08:57:31" maxSheetId="2" userName="Третьякова Елена Владимировна" r:id="rId115" minRId="4366" maxRId="4390">
    <sheetIdMap count="1">
      <sheetId val="1"/>
    </sheetIdMap>
  </header>
  <header guid="{AEA9E8F9-E92C-4F97-BF97-32EFFBA306F5}" dateTime="2024-06-06T15:35:09" maxSheetId="2" userName="Третьякова Елена Владимировна" r:id="rId116" minRId="4393" maxRId="4419">
    <sheetIdMap count="1">
      <sheetId val="1"/>
    </sheetIdMap>
  </header>
  <header guid="{3D9DF5A9-E671-4BE8-9705-4607A8BCE2BB}" dateTime="2024-06-10T12:14:06" maxSheetId="2" userName="Молчанова Елена Валерьевна" r:id="rId117" minRId="4422" maxRId="4598">
    <sheetIdMap count="1">
      <sheetId val="1"/>
    </sheetIdMap>
  </header>
  <header guid="{8A8609A6-27DA-47DA-A2CA-357F9A78C8CC}" dateTime="2024-06-10T16:33:59" maxSheetId="2" userName="Молчанова Елена Валерьевна" r:id="rId118" minRId="4601" maxRId="4604">
    <sheetIdMap count="1">
      <sheetId val="1"/>
    </sheetIdMap>
  </header>
  <header guid="{B94BF83C-A0B7-4287-A700-16E3F3BA5BBD}" dateTime="2024-06-14T10:49:21" maxSheetId="2" userName="Молчанова Елена Валерьевна" r:id="rId119" minRId="4608" maxRId="4609">
    <sheetIdMap count="1">
      <sheetId val="1"/>
    </sheetIdMap>
  </header>
  <header guid="{236624CF-927E-4CBC-B5AC-52345B0FA9E0}" dateTime="2024-06-19T11:03:20" maxSheetId="2" userName="Молчанова Елена Валерьевна" r:id="rId120" minRId="4613" maxRId="4616">
    <sheetIdMap count="1">
      <sheetId val="1"/>
    </sheetIdMap>
  </header>
  <header guid="{1A7E766A-8D4F-4B49-9849-798E8AE8C8AC}" dateTime="2024-06-19T15:37:35" maxSheetId="2" userName="Молчанова Елена Валерьевна" r:id="rId121" minRId="4620" maxRId="4621">
    <sheetIdMap count="1">
      <sheetId val="1"/>
    </sheetIdMap>
  </header>
  <header guid="{D95D27F6-07DD-4C2B-9816-3F0E440C52FD}" dateTime="2024-09-04T14:24:17" maxSheetId="2" userName="Третьякова Елена Владимировна" r:id="rId122" minRId="4625" maxRId="4637">
    <sheetIdMap count="1">
      <sheetId val="1"/>
    </sheetIdMap>
  </header>
  <header guid="{293A73C8-CCE2-4752-A5A6-44A11CB2E4AE}" dateTime="2024-09-04T14:25:54" maxSheetId="2" userName="Третьякова Елена Владимировна" r:id="rId123" minRId="4640" maxRId="4641">
    <sheetIdMap count="1">
      <sheetId val="1"/>
    </sheetIdMap>
  </header>
  <header guid="{326E237C-3F4D-47A2-9DDB-AE745A136D02}" dateTime="2024-09-04T14:26:37" maxSheetId="2" userName="Третьякова Елена Владимировна" r:id="rId124" minRId="4644">
    <sheetIdMap count="1">
      <sheetId val="1"/>
    </sheetIdMap>
  </header>
  <header guid="{C30819E7-6D4D-491C-BCA5-19E314B3231E}" dateTime="2024-09-04T14:34:53" maxSheetId="2" userName="Третьякова Елена Владимировна" r:id="rId125" minRId="4645" maxRId="4686">
    <sheetIdMap count="1">
      <sheetId val="1"/>
    </sheetIdMap>
  </header>
  <header guid="{AE13311C-F494-4B0C-9FA7-3F7AF419D4DF}" dateTime="2024-09-04T14:35:28" maxSheetId="2" userName="Третьякова Елена Владимировна" r:id="rId126" minRId="4689">
    <sheetIdMap count="1">
      <sheetId val="1"/>
    </sheetIdMap>
  </header>
  <header guid="{58BA1413-AD87-4C6E-852B-DE295A309A0A}" dateTime="2024-09-04T14:36:33" maxSheetId="2" userName="Третьякова Елена Владимировна" r:id="rId127" minRId="4690" maxRId="4691">
    <sheetIdMap count="1">
      <sheetId val="1"/>
    </sheetIdMap>
  </header>
  <header guid="{66C6B12C-AECD-4460-93BB-BCE2211A2992}" dateTime="2024-09-04T14:36:58" maxSheetId="2" userName="Третьякова Елена Владимировна" r:id="rId128" minRId="4692">
    <sheetIdMap count="1">
      <sheetId val="1"/>
    </sheetIdMap>
  </header>
  <header guid="{15ACD8C8-CFA5-42EE-8DE1-8DB1FFC58DE5}" dateTime="2024-09-04T14:37:48" maxSheetId="2" userName="Третьякова Елена Владимировна" r:id="rId129" minRId="4693">
    <sheetIdMap count="1">
      <sheetId val="1"/>
    </sheetIdMap>
  </header>
  <header guid="{12FC40AE-B042-4C92-BAEC-209F067FA1EE}" dateTime="2024-09-04T14:39:56" maxSheetId="2" userName="Третьякова Елена Владимировна" r:id="rId130" minRId="4694" maxRId="4696">
    <sheetIdMap count="1">
      <sheetId val="1"/>
    </sheetIdMap>
  </header>
  <header guid="{85BDFFB3-CB71-490E-ADCC-978AB95C4D33}" dateTime="2024-09-04T14:42:03" maxSheetId="2" userName="Третьякова Елена Владимировна" r:id="rId131" minRId="4697" maxRId="4718">
    <sheetIdMap count="1">
      <sheetId val="1"/>
    </sheetIdMap>
  </header>
  <header guid="{D57A8659-DBB5-4DFB-B715-997177584EDC}" dateTime="2024-09-04T14:47:27" maxSheetId="2" userName="Третьякова Елена Владимировна" r:id="rId132" minRId="4719" maxRId="4749">
    <sheetIdMap count="1">
      <sheetId val="1"/>
    </sheetIdMap>
  </header>
  <header guid="{AA049C6C-B861-48D3-8029-C8C37C8124F4}" dateTime="2024-09-04T14:49:02" maxSheetId="2" userName="Третьякова Елена Владимировна" r:id="rId133" minRId="4752">
    <sheetIdMap count="1">
      <sheetId val="1"/>
    </sheetIdMap>
  </header>
  <header guid="{C2B96ABF-BE04-42CC-83F0-82F63838022F}" dateTime="2024-09-04T14:50:23" maxSheetId="2" userName="Третьякова Елена Владимировна" r:id="rId134" minRId="4753" maxRId="4755">
    <sheetIdMap count="1">
      <sheetId val="1"/>
    </sheetIdMap>
  </header>
  <header guid="{303F65E2-051D-498A-917C-50335DFDA8CC}" dateTime="2024-09-04T14:51:08" maxSheetId="2" userName="Третьякова Елена Владимировна" r:id="rId135" minRId="4756">
    <sheetIdMap count="1">
      <sheetId val="1"/>
    </sheetIdMap>
  </header>
  <header guid="{4ABEBAD1-C557-41E1-8417-95CF4F50798A}" dateTime="2024-09-04T14:52:39" maxSheetId="2" userName="Третьякова Елена Владимировна" r:id="rId136" minRId="4757" maxRId="4758">
    <sheetIdMap count="1">
      <sheetId val="1"/>
    </sheetIdMap>
  </header>
  <header guid="{4A1A3EEA-6A34-4D10-95DA-9A4F676BD7B2}" dateTime="2024-09-04T14:57:28" maxSheetId="2" userName="Третьякова Елена Владимировна" r:id="rId137" minRId="4759" maxRId="4788">
    <sheetIdMap count="1">
      <sheetId val="1"/>
    </sheetIdMap>
  </header>
  <header guid="{660F81BD-ECE2-44CB-BF86-72A8D1D5C0C8}" dateTime="2024-09-04T14:58:00" maxSheetId="2" userName="Третьякова Елена Владимировна" r:id="rId138" minRId="4789">
    <sheetIdMap count="1">
      <sheetId val="1"/>
    </sheetIdMap>
  </header>
  <header guid="{CFD4C9C8-3A6F-411D-8CD7-A60DF5EBBE1E}" dateTime="2024-09-04T14:59:07" maxSheetId="2" userName="Третьякова Елена Владимировна" r:id="rId139" minRId="4790" maxRId="4791">
    <sheetIdMap count="1">
      <sheetId val="1"/>
    </sheetIdMap>
  </header>
  <header guid="{54A54C3B-F4BC-48D7-A25F-C41FCD200C61}" dateTime="2024-09-04T15:00:01" maxSheetId="2" userName="Третьякова Елена Владимировна" r:id="rId140" minRId="4792" maxRId="4799">
    <sheetIdMap count="1">
      <sheetId val="1"/>
    </sheetIdMap>
  </header>
  <header guid="{578CCA35-22A4-45DA-9463-98E2A53A09F2}" dateTime="2024-09-04T15:02:12" maxSheetId="2" userName="Третьякова Елена Владимировна" r:id="rId141" minRId="4800" maxRId="4809">
    <sheetIdMap count="1">
      <sheetId val="1"/>
    </sheetIdMap>
  </header>
  <header guid="{39100F13-6DB4-440B-8770-E256DA73AB61}" dateTime="2024-09-04T15:03:31" maxSheetId="2" userName="Третьякова Елена Владимировна" r:id="rId142" minRId="4810" maxRId="4817">
    <sheetIdMap count="1">
      <sheetId val="1"/>
    </sheetIdMap>
  </header>
  <header guid="{950403FC-1B3E-468F-9D78-1FC9C160E893}" dateTime="2024-09-04T15:04:48" maxSheetId="2" userName="Третьякова Елена Владимировна" r:id="rId143" minRId="4818">
    <sheetIdMap count="1">
      <sheetId val="1"/>
    </sheetIdMap>
  </header>
  <header guid="{9E45AD2F-CA68-4521-B272-23F2083FCFA1}" dateTime="2024-09-04T15:06:07" maxSheetId="2" userName="Третьякова Елена Владимировна" r:id="rId144" minRId="4819" maxRId="4827">
    <sheetIdMap count="1">
      <sheetId val="1"/>
    </sheetIdMap>
  </header>
  <header guid="{66089866-C01E-4389-9A23-02FAC07E2B84}" dateTime="2024-09-04T15:06:51" maxSheetId="2" userName="Третьякова Елена Владимировна" r:id="rId145" minRId="4828">
    <sheetIdMap count="1">
      <sheetId val="1"/>
    </sheetIdMap>
  </header>
  <header guid="{CD8F32C5-21AC-4AA8-974A-2D981313C6FD}" dateTime="2024-09-04T15:07:18" maxSheetId="2" userName="Третьякова Елена Владимировна" r:id="rId146" minRId="4829">
    <sheetIdMap count="1">
      <sheetId val="1"/>
    </sheetIdMap>
  </header>
  <header guid="{F60EF207-B7D6-4623-9394-2ADF2FEBA521}" dateTime="2024-09-04T15:10:07" maxSheetId="2" userName="Третьякова Елена Владимировна" r:id="rId147" minRId="4830" maxRId="4857">
    <sheetIdMap count="1">
      <sheetId val="1"/>
    </sheetIdMap>
  </header>
  <header guid="{815F8B1E-0531-4E55-A45F-1883E0E752A3}" dateTime="2024-09-04T15:10:34" maxSheetId="2" userName="Третьякова Елена Владимировна" r:id="rId148" minRId="4860">
    <sheetIdMap count="1">
      <sheetId val="1"/>
    </sheetIdMap>
  </header>
  <header guid="{C15B66C4-F5BB-437A-B123-8EBB82926A82}" dateTime="2024-09-04T15:11:02" maxSheetId="2" userName="Третьякова Елена Владимировна" r:id="rId149" minRId="4861">
    <sheetIdMap count="1">
      <sheetId val="1"/>
    </sheetIdMap>
  </header>
  <header guid="{15C15F2E-009F-4F23-A302-EEF7964DE132}" dateTime="2024-09-04T15:14:56" maxSheetId="2" userName="Третьякова Елена Владимировна" r:id="rId150" minRId="4864" maxRId="4891">
    <sheetIdMap count="1">
      <sheetId val="1"/>
    </sheetIdMap>
  </header>
  <header guid="{1A2EFA75-1860-4929-9FA9-2CF7037C9BD5}" dateTime="2024-09-04T15:15:37" maxSheetId="2" userName="Третьякова Елена Владимировна" r:id="rId151" minRId="4894" maxRId="4896">
    <sheetIdMap count="1">
      <sheetId val="1"/>
    </sheetIdMap>
  </header>
  <header guid="{F78F4C86-C551-4FFB-82CB-446F49A22EBB}" dateTime="2024-09-04T15:16:22" maxSheetId="2" userName="Третьякова Елена Владимировна" r:id="rId152" minRId="4897">
    <sheetIdMap count="1">
      <sheetId val="1"/>
    </sheetIdMap>
  </header>
  <header guid="{9BFA8E76-D352-4EDE-B669-B48CB687BC16}" dateTime="2024-09-04T15:16:48" maxSheetId="2" userName="Третьякова Елена Владимировна" r:id="rId153" minRId="4898">
    <sheetIdMap count="1">
      <sheetId val="1"/>
    </sheetIdMap>
  </header>
  <header guid="{BBC4E167-C7B0-48B8-BF90-E77E0755D6C2}" dateTime="2024-09-04T15:18:04" maxSheetId="2" userName="Третьякова Елена Владимировна" r:id="rId154" minRId="4899" maxRId="4900">
    <sheetIdMap count="1">
      <sheetId val="1"/>
    </sheetIdMap>
  </header>
  <header guid="{E05C76AE-1489-4B40-B81B-8C561F259675}" dateTime="2024-09-04T15:39:52" maxSheetId="2" userName="Третьякова Елена Владимировна" r:id="rId155" minRId="4901" maxRId="4921">
    <sheetIdMap count="1">
      <sheetId val="1"/>
    </sheetIdMap>
  </header>
  <header guid="{929F4C84-E7F6-417F-9D39-74114AE2E151}" dateTime="2024-09-04T15:41:19" maxSheetId="2" userName="Третьякова Елена Владимировна" r:id="rId156" minRId="4924">
    <sheetIdMap count="1">
      <sheetId val="1"/>
    </sheetIdMap>
  </header>
  <header guid="{E466D76F-F76F-4BBC-BD0F-CCB6A4E03985}" dateTime="2024-09-04T15:42:18" maxSheetId="2" userName="Третьякова Елена Владимировна" r:id="rId157" minRId="4925">
    <sheetIdMap count="1">
      <sheetId val="1"/>
    </sheetIdMap>
  </header>
  <header guid="{A0B44C6B-C720-43E7-A18A-FD56CC8AD6E7}" dateTime="2024-09-04T15:43:58" maxSheetId="2" userName="Третьякова Елена Владимировна" r:id="rId158" minRId="4926">
    <sheetIdMap count="1">
      <sheetId val="1"/>
    </sheetIdMap>
  </header>
  <header guid="{902C7D5B-8BE4-470C-AFDD-19646D425210}" dateTime="2024-09-04T16:01:27" maxSheetId="2" userName="Третьякова Елена Владимировна" r:id="rId159" minRId="4927">
    <sheetIdMap count="1">
      <sheetId val="1"/>
    </sheetIdMap>
  </header>
  <header guid="{6034FA96-350C-41B9-91AE-566A2218A0B2}" dateTime="2024-09-04T16:06:07" maxSheetId="2" userName="Третьякова Елена Владимировна" r:id="rId160" minRId="4930">
    <sheetIdMap count="1">
      <sheetId val="1"/>
    </sheetIdMap>
  </header>
  <header guid="{DA8F266C-1DB9-4BDF-B8DE-B367A1A405F5}" dateTime="2024-09-04T16:16:55" maxSheetId="2" userName="Третьякова Елена Владимировна" r:id="rId161" minRId="4933" maxRId="4955">
    <sheetIdMap count="1">
      <sheetId val="1"/>
    </sheetIdMap>
  </header>
  <header guid="{0BC37161-EF21-4A87-B856-37F36EE6BC2C}" dateTime="2024-09-04T16:18:14" maxSheetId="2" userName="Третьякова Елена Владимировна" r:id="rId162" minRId="4958">
    <sheetIdMap count="1">
      <sheetId val="1"/>
    </sheetIdMap>
  </header>
  <header guid="{9FEF90CF-FA4C-4F9D-A1B6-A3643CCA3A1E}" dateTime="2024-09-04T16:23:31" maxSheetId="2" userName="Третьякова Елена Владимировна" r:id="rId163" minRId="4959">
    <sheetIdMap count="1">
      <sheetId val="1"/>
    </sheetIdMap>
  </header>
  <header guid="{643948B0-48FF-42E8-A59C-C08DFEFB8587}" dateTime="2024-09-04T16:27:56" maxSheetId="2" userName="Третьякова Елена Владимировна" r:id="rId164" minRId="4962">
    <sheetIdMap count="1">
      <sheetId val="1"/>
    </sheetIdMap>
  </header>
  <header guid="{17DFD4D2-B4FE-49E3-817B-FDF80302F028}" dateTime="2024-09-06T08:38:12" maxSheetId="2" userName="Третьякова Елена Владимировна" r:id="rId165" minRId="4965" maxRId="4969">
    <sheetIdMap count="1">
      <sheetId val="1"/>
    </sheetIdMap>
  </header>
  <header guid="{A232228E-C00A-470E-882B-992DAF2AC637}" dateTime="2024-09-06T08:41:20" maxSheetId="2" userName="Третьякова Елена Владимировна" r:id="rId166" minRId="4972" maxRId="4998">
    <sheetIdMap count="1">
      <sheetId val="1"/>
    </sheetIdMap>
  </header>
  <header guid="{38396F4A-6CEE-4538-8B9F-714FD08A91EF}" dateTime="2024-09-06T08:41:25" maxSheetId="2" userName="Третьякова Елена Владимировна" r:id="rId167">
    <sheetIdMap count="1">
      <sheetId val="1"/>
    </sheetIdMap>
  </header>
  <header guid="{09695FAC-02D3-4C57-8997-6177D3794748}" dateTime="2024-09-06T08:42:33" maxSheetId="2" userName="Третьякова Елена Владимировна" r:id="rId168" minRId="5001" maxRId="5002">
    <sheetIdMap count="1">
      <sheetId val="1"/>
    </sheetIdMap>
  </header>
  <header guid="{A87228BE-C609-4744-BC88-880640BB478E}" dateTime="2024-09-06T08:43:15" maxSheetId="2" userName="Третьякова Елена Владимировна" r:id="rId169" minRId="5003">
    <sheetIdMap count="1">
      <sheetId val="1"/>
    </sheetIdMap>
  </header>
  <header guid="{9190B782-320D-43A8-8A25-79C1F22451C4}" dateTime="2024-09-06T08:43:39" maxSheetId="2" userName="Третьякова Елена Владимировна" r:id="rId170" minRId="5004">
    <sheetIdMap count="1">
      <sheetId val="1"/>
    </sheetIdMap>
  </header>
  <header guid="{DF169F73-0B40-4E33-8F3E-01591CE33AC2}" dateTime="2024-09-06T08:44:32" maxSheetId="2" userName="Третьякова Елена Владимировна" r:id="rId171" minRId="5005" maxRId="5006">
    <sheetIdMap count="1">
      <sheetId val="1"/>
    </sheetIdMap>
  </header>
  <header guid="{6309BC1F-B289-4386-86F9-485BF925DAC3}" dateTime="2024-09-06T08:45:32" maxSheetId="2" userName="Третьякова Елена Владимировна" r:id="rId172" minRId="5007">
    <sheetIdMap count="1">
      <sheetId val="1"/>
    </sheetIdMap>
  </header>
  <header guid="{15391CD0-9AEA-4636-8266-B047AFB70579}" dateTime="2024-09-06T08:46:22" maxSheetId="2" userName="Третьякова Елена Владимировна" r:id="rId173" minRId="5008" maxRId="5009">
    <sheetIdMap count="1">
      <sheetId val="1"/>
    </sheetIdMap>
  </header>
  <header guid="{11C953CA-3B12-4688-9DEF-6431A67167DA}" dateTime="2024-09-06T08:49:51" maxSheetId="2" userName="Третьякова Елена Владимировна" r:id="rId174" minRId="5010" maxRId="5012">
    <sheetIdMap count="1">
      <sheetId val="1"/>
    </sheetIdMap>
  </header>
  <header guid="{4D2DC5E2-FA36-4C36-B43C-AD1B845B90CD}" dateTime="2024-09-06T08:52:32" maxSheetId="2" userName="Третьякова Елена Владимировна" r:id="rId175" minRId="5013" maxRId="5034">
    <sheetIdMap count="1">
      <sheetId val="1"/>
    </sheetIdMap>
  </header>
  <header guid="{B12B3C4F-1531-47EA-9CAD-7C0D7085C566}" dateTime="2024-09-06T08:57:00" maxSheetId="2" userName="Третьякова Елена Владимировна" r:id="rId176" minRId="5035" maxRId="5056">
    <sheetIdMap count="1">
      <sheetId val="1"/>
    </sheetIdMap>
  </header>
  <header guid="{EC3EAC3E-6272-4B03-BC34-B645C6DB4A26}" dateTime="2024-09-06T08:57:20" maxSheetId="2" userName="Третьякова Елена Владимировна" r:id="rId177" minRId="5057">
    <sheetIdMap count="1">
      <sheetId val="1"/>
    </sheetIdMap>
  </header>
  <header guid="{EA5F3812-1AA8-4A18-9024-1344ABB260FD}" dateTime="2024-09-06T08:57:58" maxSheetId="2" userName="Третьякова Елена Владимировна" r:id="rId178" minRId="5058">
    <sheetIdMap count="1">
      <sheetId val="1"/>
    </sheetIdMap>
  </header>
  <header guid="{EC89E813-F643-466D-B833-C9BBF6BDF36D}" dateTime="2024-09-06T08:58:27" maxSheetId="2" userName="Третьякова Елена Владимировна" r:id="rId179" minRId="5059">
    <sheetIdMap count="1">
      <sheetId val="1"/>
    </sheetIdMap>
  </header>
  <header guid="{E8A5DDC9-DC01-48C4-AA97-0A9FD12FE6ED}" dateTime="2024-09-06T08:59:06" maxSheetId="2" userName="Третьякова Елена Владимировна" r:id="rId180" minRId="5060" maxRId="5061">
    <sheetIdMap count="1">
      <sheetId val="1"/>
    </sheetIdMap>
  </header>
  <header guid="{06D28157-7ABB-42C5-BA87-C32A76BAFFCC}" dateTime="2024-09-06T09:00:04" maxSheetId="2" userName="Третьякова Елена Владимировна" r:id="rId181" minRId="5062">
    <sheetIdMap count="1">
      <sheetId val="1"/>
    </sheetIdMap>
  </header>
  <header guid="{A4197D61-2FB0-4AA9-B883-F482C2D673A0}" dateTime="2024-09-06T09:00:27" maxSheetId="2" userName="Третьякова Елена Владимировна" r:id="rId182" minRId="5063">
    <sheetIdMap count="1">
      <sheetId val="1"/>
    </sheetIdMap>
  </header>
  <header guid="{0D113B37-8F12-4FA7-BE4F-F2E214A89A1C}" dateTime="2024-09-06T09:04:09" maxSheetId="2" userName="Третьякова Елена Владимировна" r:id="rId183" minRId="5064" maxRId="5084">
    <sheetIdMap count="1">
      <sheetId val="1"/>
    </sheetIdMap>
  </header>
  <header guid="{CAA250BB-06A4-498D-BEC7-97E9A3496CD8}" dateTime="2024-09-06T09:06:06" maxSheetId="2" userName="Третьякова Елена Владимировна" r:id="rId184" minRId="5087" maxRId="5097">
    <sheetIdMap count="1">
      <sheetId val="1"/>
    </sheetIdMap>
  </header>
  <header guid="{BA7AAF3A-93BB-4A66-8C12-9C01CB26E69E}" dateTime="2024-09-06T09:06:37" maxSheetId="2" userName="Третьякова Елена Владимировна" r:id="rId185" minRId="5098">
    <sheetIdMap count="1">
      <sheetId val="1"/>
    </sheetIdMap>
  </header>
  <header guid="{95DB1A09-0EDF-48DB-81EB-255D357C80FE}" dateTime="2024-09-06T09:07:14" maxSheetId="2" userName="Третьякова Елена Владимировна" r:id="rId186" minRId="5099">
    <sheetIdMap count="1">
      <sheetId val="1"/>
    </sheetIdMap>
  </header>
  <header guid="{3BB53506-606B-43FC-A06F-6CBED86BC271}" dateTime="2024-09-06T09:10:21" maxSheetId="2" userName="Третьякова Елена Владимировна" r:id="rId187" minRId="5102" maxRId="5130">
    <sheetIdMap count="1">
      <sheetId val="1"/>
    </sheetIdMap>
  </header>
  <header guid="{B0498F32-5F4D-4463-AEA2-3C870C75A446}" dateTime="2024-09-06T09:10:56" maxSheetId="2" userName="Третьякова Елена Владимировна" r:id="rId188" minRId="5131">
    <sheetIdMap count="1">
      <sheetId val="1"/>
    </sheetIdMap>
  </header>
  <header guid="{C13BE588-1902-44BC-AF49-61D44B697EDD}" dateTime="2024-09-06T09:14:00" maxSheetId="2" userName="Третьякова Елена Владимировна" r:id="rId189" minRId="5132" maxRId="5134">
    <sheetIdMap count="1">
      <sheetId val="1"/>
    </sheetIdMap>
  </header>
  <header guid="{C5B01085-8C32-4663-A3AB-E324B00D5D2F}" dateTime="2024-09-06T09:15:21" maxSheetId="2" userName="Третьякова Елена Владимировна" r:id="rId190" minRId="5135" maxRId="5138">
    <sheetIdMap count="1">
      <sheetId val="1"/>
    </sheetIdMap>
  </header>
  <header guid="{BBE0CBD7-DEA7-41F9-8D1D-E7D067BF1C6D}" dateTime="2024-09-06T09:17:49" maxSheetId="2" userName="Третьякова Елена Владимировна" r:id="rId191" minRId="5139">
    <sheetIdMap count="1">
      <sheetId val="1"/>
    </sheetIdMap>
  </header>
  <header guid="{A4C94D0A-B2BA-43DA-AE19-DFA4BF1ADB80}" dateTime="2024-09-06T09:32:10" maxSheetId="2" userName="Третьякова Елена Владимировна" r:id="rId192" minRId="5140" maxRId="5141">
    <sheetIdMap count="1">
      <sheetId val="1"/>
    </sheetIdMap>
  </header>
  <header guid="{D7FCF7A0-9EA8-48DA-A876-6C09FF4AB31B}" dateTime="2024-09-06T09:34:05" maxSheetId="2" userName="Третьякова Елена Владимировна" r:id="rId193" minRId="5142">
    <sheetIdMap count="1">
      <sheetId val="1"/>
    </sheetIdMap>
  </header>
  <header guid="{522EF73F-96F8-48C9-9D53-4B55439A39DB}" dateTime="2024-09-06T09:45:53" maxSheetId="2" userName="Третьякова Елена Владимировна" r:id="rId194">
    <sheetIdMap count="1">
      <sheetId val="1"/>
    </sheetIdMap>
  </header>
  <header guid="{C045B01C-32E1-4B67-A436-CE713A0EEA22}" dateTime="2024-09-06T09:52:27" maxSheetId="2" userName="Третьякова Елена Владимировна" r:id="rId195" minRId="5145">
    <sheetIdMap count="1">
      <sheetId val="1"/>
    </sheetIdMap>
  </header>
  <header guid="{E3F58949-2A83-4E11-8BCD-0A688AC9847F}" dateTime="2024-09-06T10:16:36" maxSheetId="2" userName="Третьякова Елена Владимировна" r:id="rId196" minRId="5146">
    <sheetIdMap count="1">
      <sheetId val="1"/>
    </sheetIdMap>
  </header>
  <header guid="{22D9AF09-E9E1-406F-81A4-E48E890A92E8}" dateTime="2024-09-06T10:19:05" maxSheetId="2" userName="Третьякова Елена Владимировна" r:id="rId197" minRId="5147">
    <sheetIdMap count="1">
      <sheetId val="1"/>
    </sheetIdMap>
  </header>
  <header guid="{C1CCB26D-422B-460F-9B2F-129CB6B1DEB6}" dateTime="2024-09-06T15:22:05" maxSheetId="2" userName="Третьякова Елена Владимировна" r:id="rId198" minRId="5148">
    <sheetIdMap count="1">
      <sheetId val="1"/>
    </sheetIdMap>
  </header>
  <header guid="{CE87D9D1-85BA-46B7-A732-2DE89357209D}" dateTime="2024-09-09T12:44:09" maxSheetId="2" userName="Третьякова Елена Владимировна" r:id="rId199" minRId="5149">
    <sheetIdMap count="1">
      <sheetId val="1"/>
    </sheetIdMap>
  </header>
  <header guid="{39EF1815-6823-46C5-B37F-007BF5A2F7A1}" dateTime="2024-09-09T14:04:02" maxSheetId="2" userName="Третьякова Елена Владимировна" r:id="rId200">
    <sheetIdMap count="1">
      <sheetId val="1"/>
    </sheetIdMap>
  </header>
  <header guid="{C3BDC011-C628-4F6A-8038-541710AE3814}" dateTime="2024-09-11T12:40:42" maxSheetId="2" userName="Молчанова Елена Валерьевна" r:id="rId201" minRId="5155">
    <sheetIdMap count="1">
      <sheetId val="1"/>
    </sheetIdMap>
  </header>
  <header guid="{4F0F82CA-4A20-4530-97D6-4272C46C4DFF}" dateTime="2024-09-26T10:21:03" maxSheetId="2" userName="Третьякова Елена Владимировна" r:id="rId202" minRId="5159" maxRId="5277">
    <sheetIdMap count="1">
      <sheetId val="1"/>
    </sheetIdMap>
  </header>
  <header guid="{BE12E5BC-AE0E-467C-BABC-2FE572C591B2}" dateTime="2024-09-26T10:21:30" maxSheetId="2" userName="Третьякова Елена Владимировна" r:id="rId203" minRId="5281" maxRId="5286">
    <sheetIdMap count="1">
      <sheetId val="1"/>
    </sheetIdMap>
  </header>
  <header guid="{42DC5B7F-1464-4F47-90BF-7FE322A447B7}" dateTime="2024-09-26T10:22:14" maxSheetId="2" userName="Третьякова Елена Владимировна" r:id="rId204" minRId="5287">
    <sheetIdMap count="1">
      <sheetId val="1"/>
    </sheetIdMap>
  </header>
  <header guid="{3BA8F49F-2BDA-48BD-B5E6-FD39DBC188BA}" dateTime="2024-09-26T10:22:24" maxSheetId="2" userName="Третьякова Елена Владимировна" r:id="rId205" minRId="5288">
    <sheetIdMap count="1">
      <sheetId val="1"/>
    </sheetIdMap>
  </header>
  <header guid="{CB39F902-C078-43F5-B8EC-E50785827588}" dateTime="2024-09-26T10:23:34" maxSheetId="2" userName="Третьякова Елена Владимировна" r:id="rId206">
    <sheetIdMap count="1">
      <sheetId val="1"/>
    </sheetIdMap>
  </header>
  <header guid="{EFE26765-3D50-4AAF-BB75-E12475DB5826}" dateTime="2024-09-27T11:45:53" maxSheetId="2" userName="Третьякова Елена Владимировна" r:id="rId207" minRId="5291" maxRId="5297">
    <sheetIdMap count="1">
      <sheetId val="1"/>
    </sheetIdMap>
  </header>
  <header guid="{F805E963-67FC-437B-8E5F-5F135B57D167}" dateTime="2024-09-30T15:42:54" maxSheetId="2" userName="Третьякова Елена Владимировна" r:id="rId208" minRId="5298">
    <sheetIdMap count="1">
      <sheetId val="1"/>
    </sheetIdMap>
  </header>
  <header guid="{ECA23D47-54FA-4BE8-BCAA-1E8BAC712736}" dateTime="2024-09-30T15:43:32" maxSheetId="2" userName="Третьякова Елена Владимировна" r:id="rId209" minRId="5299">
    <sheetIdMap count="1">
      <sheetId val="1"/>
    </sheetIdMap>
  </header>
  <header guid="{1A855CA0-1375-46AA-A939-01E26FBECE26}" dateTime="2024-09-30T15:44:59" maxSheetId="2" userName="Третьякова Елена Владимировна" r:id="rId210" minRId="5300">
    <sheetIdMap count="1">
      <sheetId val="1"/>
    </sheetIdMap>
  </header>
  <header guid="{F81665E2-F414-45C6-A033-C30CD15EF3A4}" dateTime="2024-10-17T12:52:42" maxSheetId="2" userName="Третьякова Елена Владимировна" r:id="rId211" minRId="5301" maxRId="5329">
    <sheetIdMap count="1">
      <sheetId val="1"/>
    </sheetIdMap>
  </header>
  <header guid="{0A1CA5F8-5AA6-489F-AFD5-8B7525ED155E}" dateTime="2024-10-23T15:59:19" maxSheetId="2" userName="Третьякова Елена Владимировна" r:id="rId212" minRId="5332" maxRId="5334">
    <sheetIdMap count="1">
      <sheetId val="1"/>
    </sheetIdMap>
  </header>
  <header guid="{458B74E3-924F-43B7-9896-D525EBCD9564}" dateTime="2024-10-23T15:59:47" maxSheetId="2" userName="Третьякова Елена Владимировна" r:id="rId213" minRId="5337">
    <sheetIdMap count="1">
      <sheetId val="1"/>
    </sheetIdMap>
  </header>
  <header guid="{23F4905E-AD46-4927-AB00-31DF37A75A14}" dateTime="2024-10-23T16:01:47" maxSheetId="2" userName="Третьякова Елена Владимировна" r:id="rId214" minRId="5340" maxRId="5367">
    <sheetIdMap count="1">
      <sheetId val="1"/>
    </sheetIdMap>
  </header>
  <header guid="{0102020D-C40E-4935-97DD-C4C7E6746E73}" dateTime="2024-10-23T16:03:13" maxSheetId="2" userName="Третьякова Елена Владимировна" r:id="rId215" minRId="5370" maxRId="5372">
    <sheetIdMap count="1">
      <sheetId val="1"/>
    </sheetIdMap>
  </header>
  <header guid="{3DCB23FD-2731-49ED-ADD0-758B53070D74}" dateTime="2024-10-23T16:04:29" maxSheetId="2" userName="Третьякова Елена Владимировна" r:id="rId216" minRId="5375" maxRId="5376">
    <sheetIdMap count="1">
      <sheetId val="1"/>
    </sheetIdMap>
  </header>
  <header guid="{DA578A23-B1DD-4D28-9BBC-EA5BB43403C5}" dateTime="2024-10-23T16:07:03" maxSheetId="2" userName="Третьякова Елена Владимировна" r:id="rId217" minRId="5377" maxRId="5404">
    <sheetIdMap count="1">
      <sheetId val="1"/>
    </sheetIdMap>
  </header>
  <header guid="{C27AAA0E-D7F0-4676-A6B6-BB5291EAABE2}" dateTime="2024-10-23T16:08:30" maxSheetId="2" userName="Третьякова Елена Владимировна" r:id="rId218" minRId="5407" maxRId="5408">
    <sheetIdMap count="1">
      <sheetId val="1"/>
    </sheetIdMap>
  </header>
  <header guid="{7A659C1A-C39A-49B3-A591-72E65CE4F617}" dateTime="2024-10-23T16:09:20" maxSheetId="2" userName="Третьякова Елена Владимировна" r:id="rId219" minRId="5409">
    <sheetIdMap count="1">
      <sheetId val="1"/>
    </sheetIdMap>
  </header>
  <header guid="{B2175F9B-37FC-4F92-B932-8CF7B034B166}" dateTime="2024-10-23T16:16:05" maxSheetId="2" userName="Третьякова Елена Владимировна" r:id="rId220" minRId="5410" maxRId="5412">
    <sheetIdMap count="1">
      <sheetId val="1"/>
    </sheetIdMap>
  </header>
  <header guid="{5E37462B-2348-45AB-8CFF-6D29F3918E6A}" dateTime="2024-10-23T16:17:35" maxSheetId="2" userName="Третьякова Елена Владимировна" r:id="rId221" minRId="5413" maxRId="5414">
    <sheetIdMap count="1">
      <sheetId val="1"/>
    </sheetIdMap>
  </header>
  <header guid="{8280516D-CEFD-4D62-9021-6ABAC675BC82}" dateTime="2024-10-23T16:19:40" maxSheetId="2" userName="Третьякова Елена Владимировна" r:id="rId222" minRId="5415" maxRId="5428">
    <sheetIdMap count="1">
      <sheetId val="1"/>
    </sheetIdMap>
  </header>
  <header guid="{D183546B-0427-41E7-B787-E783B7CF874C}" dateTime="2024-10-23T16:19:52" maxSheetId="2" userName="Третьякова Елена Владимировна" r:id="rId223" minRId="5429" maxRId="5430">
    <sheetIdMap count="1">
      <sheetId val="1"/>
    </sheetIdMap>
  </header>
  <header guid="{69B9E89B-4878-4E7C-8694-872C24935239}" dateTime="2024-10-23T16:20:22" maxSheetId="2" userName="Третьякова Елена Владимировна" r:id="rId224" minRId="5431">
    <sheetIdMap count="1">
      <sheetId val="1"/>
    </sheetIdMap>
  </header>
  <header guid="{11DA4D3D-8960-4986-AFC5-3991D3E8E075}" dateTime="2024-10-23T16:21:30" maxSheetId="2" userName="Третьякова Елена Владимировна" r:id="rId225" minRId="5432" maxRId="5433">
    <sheetIdMap count="1">
      <sheetId val="1"/>
    </sheetIdMap>
  </header>
  <header guid="{D36E0BA6-75C4-42FB-94D4-42E7AB33DD4E}" dateTime="2024-10-23T16:22:09" maxSheetId="2" userName="Третьякова Елена Владимировна" r:id="rId226" minRId="5434" maxRId="5437">
    <sheetIdMap count="1">
      <sheetId val="1"/>
    </sheetIdMap>
  </header>
  <header guid="{56512AE0-26CF-4478-A756-90B5796D346C}" dateTime="2024-10-23T16:23:29" maxSheetId="2" userName="Третьякова Елена Владимировна" r:id="rId227" minRId="5438" maxRId="5440">
    <sheetIdMap count="1">
      <sheetId val="1"/>
    </sheetIdMap>
  </header>
  <header guid="{49F45B66-694D-4185-9D40-EC336EDD599E}" dateTime="2024-10-23T16:24:20" maxSheetId="2" userName="Третьякова Елена Владимировна" r:id="rId228" minRId="5441" maxRId="5442">
    <sheetIdMap count="1">
      <sheetId val="1"/>
    </sheetIdMap>
  </header>
  <header guid="{285B5C21-F9E6-4B8A-B790-D5DE0D575E1E}" dateTime="2024-10-23T16:24:47" maxSheetId="2" userName="Третьякова Елена Владимировна" r:id="rId229" minRId="5443">
    <sheetIdMap count="1">
      <sheetId val="1"/>
    </sheetIdMap>
  </header>
  <header guid="{81FA44E8-6963-4CDE-B602-5A2E562198C2}" dateTime="2024-10-23T16:26:06" maxSheetId="2" userName="Третьякова Елена Владимировна" r:id="rId230" minRId="5444" maxRId="5445">
    <sheetIdMap count="1">
      <sheetId val="1"/>
    </sheetIdMap>
  </header>
  <header guid="{0776C545-954E-4DEA-96B2-2013C52494CF}" dateTime="2024-10-23T16:26:51" maxSheetId="2" userName="Третьякова Елена Владимировна" r:id="rId231" minRId="5446">
    <sheetIdMap count="1">
      <sheetId val="1"/>
    </sheetIdMap>
  </header>
  <header guid="{3BE7143D-358E-4AAD-8244-8AB555C94134}" dateTime="2024-10-23T16:27:08" maxSheetId="2" userName="Третьякова Елена Владимировна" r:id="rId232" minRId="5447">
    <sheetIdMap count="1">
      <sheetId val="1"/>
    </sheetIdMap>
  </header>
  <header guid="{A8CFD692-B308-4B5F-8A1B-57DD82CEFAAA}" dateTime="2024-10-23T16:27:44" maxSheetId="2" userName="Третьякова Елена Владимировна" r:id="rId233" minRId="5448">
    <sheetIdMap count="1">
      <sheetId val="1"/>
    </sheetIdMap>
  </header>
  <header guid="{4C8B2E1D-4501-4586-9CF2-740A3A3C553D}" dateTime="2024-10-23T16:27:58" maxSheetId="2" userName="Третьякова Елена Владимировна" r:id="rId234" minRId="5449">
    <sheetIdMap count="1">
      <sheetId val="1"/>
    </sheetIdMap>
  </header>
  <header guid="{DACF794F-A14D-495A-A018-3692D4F8746F}" dateTime="2024-10-23T16:28:24" maxSheetId="2" userName="Третьякова Елена Владимировна" r:id="rId235" minRId="5450">
    <sheetIdMap count="1">
      <sheetId val="1"/>
    </sheetIdMap>
  </header>
  <header guid="{2EA52749-512F-430A-B067-774E9883D3EE}" dateTime="2024-10-23T16:28:59" maxSheetId="2" userName="Третьякова Елена Владимировна" r:id="rId236" minRId="5451">
    <sheetIdMap count="1">
      <sheetId val="1"/>
    </sheetIdMap>
  </header>
  <header guid="{D0FC039D-0063-40EB-B1F9-E83D325FDBF8}" dateTime="2024-10-23T16:29:26" maxSheetId="2" userName="Третьякова Елена Владимировна" r:id="rId237" minRId="5452">
    <sheetIdMap count="1">
      <sheetId val="1"/>
    </sheetIdMap>
  </header>
  <header guid="{1517D597-4E5E-4316-A171-01DCA0906736}" dateTime="2024-10-23T16:29:52" maxSheetId="2" userName="Третьякова Елена Владимировна" r:id="rId238" minRId="5453">
    <sheetIdMap count="1">
      <sheetId val="1"/>
    </sheetIdMap>
  </header>
  <header guid="{D226F89F-903D-4E7C-A211-7457CEAE0810}" dateTime="2024-10-23T16:30:30" maxSheetId="2" userName="Третьякова Елена Владимировна" r:id="rId239" minRId="5454" maxRId="5455">
    <sheetIdMap count="1">
      <sheetId val="1"/>
    </sheetIdMap>
  </header>
  <header guid="{D4D55BBF-3047-4AA0-B553-8F65003DAB12}" dateTime="2024-10-23T16:30:59" maxSheetId="2" userName="Третьякова Елена Владимировна" r:id="rId240" minRId="5456">
    <sheetIdMap count="1">
      <sheetId val="1"/>
    </sheetIdMap>
  </header>
  <header guid="{1E08B0ED-E830-4A97-8C59-CE7973EFC79F}" dateTime="2024-10-23T16:32:14" maxSheetId="2" userName="Третьякова Елена Владимировна" r:id="rId241" minRId="5457">
    <sheetIdMap count="1">
      <sheetId val="1"/>
    </sheetIdMap>
  </header>
  <header guid="{F7DC8721-E9A6-497A-9D80-BB3B59109F66}" dateTime="2024-10-24T08:44:53" maxSheetId="2" userName="Третьякова Елена Владимировна" r:id="rId242" minRId="5458" maxRId="5460">
    <sheetIdMap count="1">
      <sheetId val="1"/>
    </sheetIdMap>
  </header>
  <header guid="{36B5101C-7A90-4C56-A2B5-20AD093A6CCE}" dateTime="2024-10-24T08:45:34" maxSheetId="2" userName="Третьякова Елена Владимировна" r:id="rId243" minRId="5463">
    <sheetIdMap count="1">
      <sheetId val="1"/>
    </sheetIdMap>
  </header>
  <header guid="{BE6BB6B0-BC85-4886-85A8-79990314AB1F}" dateTime="2024-10-24T08:46:20" maxSheetId="2" userName="Третьякова Елена Владимировна" r:id="rId244" minRId="5464">
    <sheetIdMap count="1">
      <sheetId val="1"/>
    </sheetIdMap>
  </header>
  <header guid="{6604841A-ECC2-41FA-972B-AFA43E987857}" dateTime="2024-10-24T08:46:46" maxSheetId="2" userName="Третьякова Елена Владимировна" r:id="rId245" minRId="5465">
    <sheetIdMap count="1">
      <sheetId val="1"/>
    </sheetIdMap>
  </header>
  <header guid="{9FC3764F-8863-48EA-938F-5233712CE0E6}" dateTime="2024-10-24T08:47:11" maxSheetId="2" userName="Третьякова Елена Владимировна" r:id="rId246" minRId="5466">
    <sheetIdMap count="1">
      <sheetId val="1"/>
    </sheetIdMap>
  </header>
  <header guid="{D10E6783-BD34-4E8C-A6CD-43147A9E4D91}" dateTime="2024-10-24T08:47:44" maxSheetId="2" userName="Третьякова Елена Владимировна" r:id="rId247" minRId="5467">
    <sheetIdMap count="1">
      <sheetId val="1"/>
    </sheetIdMap>
  </header>
  <header guid="{8971488A-98AE-4E2F-A80C-F276173B2EAE}" dateTime="2024-10-24T08:48:02" maxSheetId="2" userName="Третьякова Елена Владимировна" r:id="rId248" minRId="5468">
    <sheetIdMap count="1">
      <sheetId val="1"/>
    </sheetIdMap>
  </header>
  <header guid="{05BF83EC-3B85-4BA8-8431-A11DA1EC3CFB}" dateTime="2024-10-24T08:48:31" maxSheetId="2" userName="Третьякова Елена Владимировна" r:id="rId249" minRId="5469">
    <sheetIdMap count="1">
      <sheetId val="1"/>
    </sheetIdMap>
  </header>
  <header guid="{5E670000-BADB-42AB-9FAA-8B4C2F1B9F57}" dateTime="2024-10-24T08:48:46" maxSheetId="2" userName="Третьякова Елена Владимировна" r:id="rId250" minRId="5470">
    <sheetIdMap count="1">
      <sheetId val="1"/>
    </sheetIdMap>
  </header>
  <header guid="{2C679FE9-9874-4D45-947E-8306B8FF6292}" dateTime="2024-10-24T08:49:22" maxSheetId="2" userName="Третьякова Елена Владимировна" r:id="rId251" minRId="5471">
    <sheetIdMap count="1">
      <sheetId val="1"/>
    </sheetIdMap>
  </header>
  <header guid="{C051A922-C80B-4498-9770-3AE7580FB962}" dateTime="2024-10-24T08:50:05" maxSheetId="2" userName="Третьякова Елена Владимировна" r:id="rId252" minRId="5472" maxRId="5473">
    <sheetIdMap count="1">
      <sheetId val="1"/>
    </sheetIdMap>
  </header>
  <header guid="{41A2670E-6A33-4C05-A2E3-135BE625AFCC}" dateTime="2024-10-24T08:50:45" maxSheetId="2" userName="Третьякова Елена Владимировна" r:id="rId253" minRId="5474">
    <sheetIdMap count="1">
      <sheetId val="1"/>
    </sheetIdMap>
  </header>
  <header guid="{4E398372-8E97-4C2E-B545-2EEEF4DCB173}" dateTime="2024-10-24T08:51:39" maxSheetId="2" userName="Третьякова Елена Владимировна" r:id="rId254" minRId="5475" maxRId="5483">
    <sheetIdMap count="1">
      <sheetId val="1"/>
    </sheetIdMap>
  </header>
  <header guid="{21FDD9A4-7F2D-4EEF-B0B8-D21385E77E87}" dateTime="2024-10-24T08:52:17" maxSheetId="2" userName="Третьякова Елена Владимировна" r:id="rId255" minRId="5484">
    <sheetIdMap count="1">
      <sheetId val="1"/>
    </sheetIdMap>
  </header>
  <header guid="{E3041DEC-CDA6-48F3-9A8E-AE468E68A06F}" dateTime="2024-10-25T14:10:07" maxSheetId="2" userName="Третьякова Елена Владимировна" r:id="rId256" minRId="5485">
    <sheetIdMap count="1">
      <sheetId val="1"/>
    </sheetIdMap>
  </header>
  <header guid="{2CACEACE-EFE9-43E3-92EA-90AFE2229CAB}" dateTime="2024-10-25T14:10:40" maxSheetId="2" userName="Третьякова Елена Владимировна" r:id="rId257" minRId="5486">
    <sheetIdMap count="1">
      <sheetId val="1"/>
    </sheetIdMap>
  </header>
  <header guid="{EAE14FEA-C88A-4F9E-974B-5A5A3ECDF668}" dateTime="2024-10-25T14:10:56" maxSheetId="2" userName="Третьякова Елена Владимировна" r:id="rId258" minRId="5487">
    <sheetIdMap count="1">
      <sheetId val="1"/>
    </sheetIdMap>
  </header>
  <header guid="{A54DD789-D1DD-4932-8AB6-2B5EC11321C4}" dateTime="2024-10-25T14:11:38" maxSheetId="2" userName="Третьякова Елена Владимировна" r:id="rId259" minRId="5488">
    <sheetIdMap count="1">
      <sheetId val="1"/>
    </sheetIdMap>
  </header>
  <header guid="{D92EB038-DD7B-4C0D-A329-0A2E9B3B108C}" dateTime="2024-10-25T14:12:24" maxSheetId="2" userName="Третьякова Елена Владимировна" r:id="rId260" minRId="5489" maxRId="5490">
    <sheetIdMap count="1">
      <sheetId val="1"/>
    </sheetIdMap>
  </header>
  <header guid="{2DEECE89-1F23-430E-A8C5-B71DD8940E17}" dateTime="2024-10-25T14:12:46" maxSheetId="2" userName="Третьякова Елена Владимировна" r:id="rId261" minRId="5491">
    <sheetIdMap count="1">
      <sheetId val="1"/>
    </sheetIdMap>
  </header>
  <header guid="{D53A47CB-E333-4F6D-97ED-0744AB1929CE}" dateTime="2024-10-25T14:13:18" maxSheetId="2" userName="Третьякова Елена Владимировна" r:id="rId262" minRId="5492">
    <sheetIdMap count="1">
      <sheetId val="1"/>
    </sheetIdMap>
  </header>
  <header guid="{563474B0-888C-4E92-8C7B-9650DA91F086}" dateTime="2024-10-25T14:15:51" maxSheetId="2" userName="Третьякова Елена Владимировна" r:id="rId263" minRId="5493" maxRId="5494">
    <sheetIdMap count="1">
      <sheetId val="1"/>
    </sheetIdMap>
  </header>
  <header guid="{E66C270F-4C61-48CF-A091-08AEBB07FD62}" dateTime="2024-10-25T14:16:14" maxSheetId="2" userName="Третьякова Елена Владимировна" r:id="rId264" minRId="5495">
    <sheetIdMap count="1">
      <sheetId val="1"/>
    </sheetIdMap>
  </header>
  <header guid="{DBACD729-87A2-46FA-BC6E-45046FA3998F}" dateTime="2024-10-25T14:16:39" maxSheetId="2" userName="Третьякова Елена Владимировна" r:id="rId265" minRId="5496">
    <sheetIdMap count="1">
      <sheetId val="1"/>
    </sheetIdMap>
  </header>
  <header guid="{CBE296F1-0FB1-44E6-BAFC-04C684FC3EB4}" dateTime="2024-10-25T14:17:23" maxSheetId="2" userName="Третьякова Елена Владимировна" r:id="rId266" minRId="5497">
    <sheetIdMap count="1">
      <sheetId val="1"/>
    </sheetIdMap>
  </header>
  <header guid="{051FC0ED-A3B8-46AB-AFDB-B09A78650D3D}" dateTime="2024-10-25T14:17:57" maxSheetId="2" userName="Третьякова Елена Владимировна" r:id="rId267" minRId="5498">
    <sheetIdMap count="1">
      <sheetId val="1"/>
    </sheetIdMap>
  </header>
  <header guid="{BA58D0F3-1BEE-4A95-8217-6C0F5861B3BF}" dateTime="2024-10-25T14:18:47" maxSheetId="2" userName="Третьякова Елена Владимировна" r:id="rId268" minRId="5499">
    <sheetIdMap count="1">
      <sheetId val="1"/>
    </sheetIdMap>
  </header>
  <header guid="{CF1B5919-C91B-482D-A823-AB356A3A4783}" dateTime="2024-10-25T14:24:09" maxSheetId="2" userName="Третьякова Елена Владимировна" r:id="rId269" minRId="5500" maxRId="5522">
    <sheetIdMap count="1">
      <sheetId val="1"/>
    </sheetIdMap>
  </header>
  <header guid="{19C2A6B7-073C-4B11-A348-CFC70906C62D}" dateTime="2024-10-25T14:25:14" maxSheetId="2" userName="Третьякова Елена Владимировна" r:id="rId270" minRId="5523" maxRId="5524">
    <sheetIdMap count="1">
      <sheetId val="1"/>
    </sheetIdMap>
  </header>
  <header guid="{02C3CAFA-B1E0-4C6A-9691-60AAF0B13922}" dateTime="2024-10-25T14:27:58" maxSheetId="2" userName="Третьякова Елена Владимировна" r:id="rId271" minRId="5525" maxRId="5526">
    <sheetIdMap count="1">
      <sheetId val="1"/>
    </sheetIdMap>
  </header>
  <header guid="{CFEF0A74-2D4C-47BE-895B-5DC745EC58A4}" dateTime="2024-10-25T14:29:25" maxSheetId="2" userName="Третьякова Елена Владимировна" r:id="rId272" minRId="5527" maxRId="5528">
    <sheetIdMap count="1">
      <sheetId val="1"/>
    </sheetIdMap>
  </header>
  <header guid="{595D1870-9B4E-44FD-B172-63AD8A9C5399}" dateTime="2024-10-28T12:00:59" maxSheetId="2" userName="Третьякова Елена Владимировна" r:id="rId273" minRId="5529">
    <sheetIdMap count="1">
      <sheetId val="1"/>
    </sheetIdMap>
  </header>
  <header guid="{8BF40D47-7939-4D49-AA3B-D81555D2DDC9}" dateTime="2024-10-28T12:01:50" maxSheetId="2" userName="Третьякова Елена Владимировна" r:id="rId274" minRId="5532">
    <sheetIdMap count="1">
      <sheetId val="1"/>
    </sheetIdMap>
  </header>
  <header guid="{85ACD8D4-D963-4C8B-A341-7A6051A2283E}" dateTime="2024-10-28T12:03:01" maxSheetId="2" userName="Третьякова Елена Владимировна" r:id="rId275" minRId="5533" maxRId="5534">
    <sheetIdMap count="1">
      <sheetId val="1"/>
    </sheetIdMap>
  </header>
  <header guid="{134B2193-7883-4BA2-A210-4EBC36BC9B1E}" dateTime="2024-10-28T12:03:19" maxSheetId="2" userName="Третьякова Елена Владимировна" r:id="rId276" minRId="5535">
    <sheetIdMap count="1">
      <sheetId val="1"/>
    </sheetIdMap>
  </header>
  <header guid="{8538132C-F6DB-402E-919D-51DF75EB33E4}" dateTime="2024-10-28T12:04:01" maxSheetId="2" userName="Третьякова Елена Владимировна" r:id="rId277" minRId="5536">
    <sheetIdMap count="1">
      <sheetId val="1"/>
    </sheetIdMap>
  </header>
  <header guid="{1577753C-FDDD-4D4C-8367-FC892C4F48BA}" dateTime="2024-10-28T12:04:39" maxSheetId="2" userName="Третьякова Елена Владимировна" r:id="rId278" minRId="5537" maxRId="5538">
    <sheetIdMap count="1">
      <sheetId val="1"/>
    </sheetIdMap>
  </header>
  <header guid="{61BD85CD-504F-40D9-A5C3-2C66815DA614}" dateTime="2024-10-28T12:05:50" maxSheetId="2" userName="Третьякова Елена Владимировна" r:id="rId279" minRId="5539" maxRId="5540">
    <sheetIdMap count="1">
      <sheetId val="1"/>
    </sheetIdMap>
  </header>
  <header guid="{FFEFB391-70CC-4FC9-9686-ADD63DB58647}" dateTime="2024-10-28T12:06:38" maxSheetId="2" userName="Третьякова Елена Владимировна" r:id="rId280" minRId="5541">
    <sheetIdMap count="1">
      <sheetId val="1"/>
    </sheetIdMap>
  </header>
  <header guid="{0D50FE74-0BA9-4D16-BE3C-F3ADB16ABCDA}" dateTime="2024-10-28T12:07:02" maxSheetId="2" userName="Третьякова Елена Владимировна" r:id="rId281" minRId="5542">
    <sheetIdMap count="1">
      <sheetId val="1"/>
    </sheetIdMap>
  </header>
  <header guid="{5D0388A3-2EDF-4F9A-94E2-3D5EB5BD81E1}" dateTime="2024-10-28T12:07:38" maxSheetId="2" userName="Третьякова Елена Владимировна" r:id="rId282" minRId="5543">
    <sheetIdMap count="1">
      <sheetId val="1"/>
    </sheetIdMap>
  </header>
  <header guid="{EAFD3613-E00C-42A4-BFA1-2C3D1059182B}" dateTime="2024-10-28T12:08:20" maxSheetId="2" userName="Третьякова Елена Владимировна" r:id="rId283" minRId="5544">
    <sheetIdMap count="1">
      <sheetId val="1"/>
    </sheetIdMap>
  </header>
  <header guid="{A71212D5-9E72-4A37-A7E2-2F7153B0A63F}" dateTime="2024-10-28T12:09:07" maxSheetId="2" userName="Третьякова Елена Владимировна" r:id="rId284" minRId="5545">
    <sheetIdMap count="1">
      <sheetId val="1"/>
    </sheetIdMap>
  </header>
  <header guid="{56A56EED-3765-4705-A744-2546C4CE937D}" dateTime="2024-10-28T12:11:02" maxSheetId="2" userName="Третьякова Елена Владимировна" r:id="rId285" minRId="5546">
    <sheetIdMap count="1">
      <sheetId val="1"/>
    </sheetIdMap>
  </header>
  <header guid="{741570FA-00B6-44BB-BAAB-3159543DB72B}" dateTime="2024-10-28T12:11:48" maxSheetId="2" userName="Третьякова Елена Владимировна" r:id="rId286" minRId="5547">
    <sheetIdMap count="1">
      <sheetId val="1"/>
    </sheetIdMap>
  </header>
  <header guid="{5813EF55-EDBD-4894-923D-AB16756F67E2}" dateTime="2024-10-28T12:12:27" maxSheetId="2" userName="Третьякова Елена Владимировна" r:id="rId287" minRId="5548">
    <sheetIdMap count="1">
      <sheetId val="1"/>
    </sheetIdMap>
  </header>
  <header guid="{014CB8C6-B2F9-46AB-AF1B-E8B9B77D99C3}" dateTime="2024-10-28T12:12:52" maxSheetId="2" userName="Третьякова Елена Владимировна" r:id="rId288" minRId="5549">
    <sheetIdMap count="1">
      <sheetId val="1"/>
    </sheetIdMap>
  </header>
  <header guid="{1E5866B4-DD7B-4459-96B5-C5A5561246F7}" dateTime="2024-10-28T12:13:15" maxSheetId="2" userName="Третьякова Елена Владимировна" r:id="rId289" minRId="5550">
    <sheetIdMap count="1">
      <sheetId val="1"/>
    </sheetIdMap>
  </header>
  <header guid="{14E2FEDD-592E-4D73-BCBA-947A9D91DA50}" dateTime="2024-10-28T12:14:42" maxSheetId="2" userName="Третьякова Елена Владимировна" r:id="rId290" minRId="5551" maxRId="5553">
    <sheetIdMap count="1">
      <sheetId val="1"/>
    </sheetIdMap>
  </header>
  <header guid="{EF2CABC5-C36B-48F1-8F91-05FE09643723}" dateTime="2024-10-28T12:18:08" maxSheetId="2" userName="Третьякова Елена Владимировна" r:id="rId291" minRId="5554" maxRId="5557">
    <sheetIdMap count="1">
      <sheetId val="1"/>
    </sheetIdMap>
  </header>
  <header guid="{BDF01E8E-3BD1-4397-860E-45A7004EA3E3}" dateTime="2024-10-28T12:25:14" maxSheetId="2" userName="Третьякова Елена Владимировна" r:id="rId292" minRId="5560">
    <sheetIdMap count="1">
      <sheetId val="1"/>
    </sheetIdMap>
  </header>
  <header guid="{CCD5CEFD-FC42-44FB-ABE6-3E744FD32B21}" dateTime="2024-10-28T12:39:27" maxSheetId="2" userName="Третьякова Елена Владимировна" r:id="rId293" minRId="5561">
    <sheetIdMap count="1">
      <sheetId val="1"/>
    </sheetIdMap>
  </header>
  <header guid="{EA02C18A-3155-4579-AA5D-ADEDC922E968}" dateTime="2024-10-28T13:27:58" maxSheetId="2" userName="Третьякова Елена Владимировна" r:id="rId294">
    <sheetIdMap count="1">
      <sheetId val="1"/>
    </sheetIdMap>
  </header>
  <header guid="{D708978D-9A02-4132-9F67-0CEB9E09DD16}" dateTime="2024-10-28T14:24:58" maxSheetId="2" userName="Третьякова Елена Владимировна" r:id="rId295">
    <sheetIdMap count="1">
      <sheetId val="1"/>
    </sheetIdMap>
  </header>
  <header guid="{5127AFF3-115F-4AAE-84AB-B3236B5D4952}" dateTime="2024-10-28T15:03:12" maxSheetId="2" userName="Третьякова Елена Владимировна" r:id="rId296" minRId="5564" maxRId="5565">
    <sheetIdMap count="1">
      <sheetId val="1"/>
    </sheetIdMap>
  </header>
  <header guid="{F324CB2C-6D01-4AB1-8672-211272748CC0}" dateTime="2024-11-13T08:36:52" maxSheetId="2" userName="Молчанова Елена Валерьевна" r:id="rId297" minRId="5566" maxRId="5574">
    <sheetIdMap count="1">
      <sheetId val="1"/>
    </sheetIdMap>
  </header>
  <header guid="{A938213E-99FE-4B82-AA6E-D7975E17CFCF}" dateTime="2024-11-13T18:08:03" maxSheetId="2" userName="Молчанова Елена Валерьевна" r:id="rId298" minRId="5577" maxRId="5783">
    <sheetIdMap count="1">
      <sheetId val="1"/>
    </sheetIdMap>
  </header>
  <header guid="{AF1ED2FC-FD42-4BF4-BAD7-446E29BFBCAA}" dateTime="2024-11-14T15:37:33" maxSheetId="2" userName="Молчанова Елена Валерьевна" r:id="rId299" minRId="5786" maxRId="6741">
    <sheetIdMap count="1">
      <sheetId val="1"/>
    </sheetIdMap>
  </header>
  <header guid="{0E7101D1-EA05-4E98-852E-0CCA150A8B6A}" dateTime="2024-11-14T16:14:53" maxSheetId="2" userName="Молчанова Елена Валерьевна" r:id="rId300" minRId="6744" maxRId="6907">
    <sheetIdMap count="1">
      <sheetId val="1"/>
    </sheetIdMap>
  </header>
  <header guid="{D1BEC454-8E80-41FF-8B4E-7A7657107DC7}" dateTime="2024-11-14T16:21:11" maxSheetId="2" userName="Молчанова Елена Валерьевна" r:id="rId301" minRId="6910">
    <sheetIdMap count="1">
      <sheetId val="1"/>
    </sheetIdMap>
  </header>
  <header guid="{C25605C8-D223-4FA2-AAA8-4E91A3615702}" dateTime="2024-11-14T16:32:14" maxSheetId="2" userName="Молчанова Елена Валерьевна" r:id="rId302" minRId="6911">
    <sheetIdMap count="1">
      <sheetId val="1"/>
    </sheetIdMap>
  </header>
  <header guid="{CAFB4DA3-E2FB-462C-8D1E-38990A825D8A}" dateTime="2024-12-06T12:18:33" maxSheetId="2" userName="Третьякова Елена Владимировна" r:id="rId303" minRId="6912" maxRId="6926">
    <sheetIdMap count="1">
      <sheetId val="1"/>
    </sheetIdMap>
  </header>
  <header guid="{75F6EC5B-7370-4553-8748-51E8EB301991}" dateTime="2024-12-11T15:47:29" maxSheetId="2" userName="Третьякова Елена Владимировна" r:id="rId304" minRId="6929" maxRId="6932">
    <sheetIdMap count="1">
      <sheetId val="1"/>
    </sheetIdMap>
  </header>
  <header guid="{025C42CB-0F4C-4DC0-8758-91512CBA8111}" dateTime="2024-12-17T11:27:30" maxSheetId="2" userName="Третьякова Елена Владимировна" r:id="rId305">
    <sheetIdMap count="1">
      <sheetId val="1"/>
    </sheetIdMap>
  </header>
  <header guid="{4B295848-070F-494D-81DC-899D9CCBD113}" dateTime="2024-12-17T16:19:31" maxSheetId="2" userName="Молчанова Елена Валерьевна" r:id="rId306" minRId="6933">
    <sheetIdMap count="1">
      <sheetId val="1"/>
    </sheetIdMap>
  </header>
  <header guid="{81D34431-D98E-468A-A751-913CAC7EB63D}" dateTime="2024-12-19T14:49:18" maxSheetId="2" userName="Третьякова Елена Владимировна" r:id="rId307" minRId="6936" maxRId="6939">
    <sheetIdMap count="1">
      <sheetId val="1"/>
    </sheetIdMap>
  </header>
  <header guid="{BF84F653-97B9-4481-9E0E-8C827D817985}" dateTime="2025-01-17T14:04:56" maxSheetId="2" userName="Третьякова Елена Владимировна" r:id="rId308" minRId="6942">
    <sheetIdMap count="1">
      <sheetId val="1"/>
    </sheetIdMap>
  </header>
  <header guid="{F626BA18-D8D2-4B5E-BFCC-F0C3246A4B97}" dateTime="2025-01-17T14:06:44" maxSheetId="2" userName="Третьякова Елена Владимировна" r:id="rId309">
    <sheetIdMap count="1">
      <sheetId val="1"/>
    </sheetIdMap>
  </header>
  <header guid="{FD36A01C-ADD0-49B8-9307-7385D7C27AF7}" dateTime="2025-01-17T14:12:57" maxSheetId="2" userName="Третьякова Елена Владимировна" r:id="rId310" minRId="6947">
    <sheetIdMap count="1">
      <sheetId val="1"/>
    </sheetIdMap>
  </header>
  <header guid="{CC6BA0A2-E35C-41F6-86D7-FC3878BC15D4}" dateTime="2025-01-24T14:26:23" maxSheetId="2" userName="Третьякова Елена Владимировна" r:id="rId311" minRId="6948" maxRId="7020">
    <sheetIdMap count="1">
      <sheetId val="1"/>
    </sheetIdMap>
  </header>
  <header guid="{959B41E7-66B8-4CBE-B5EE-F150F4E47322}" dateTime="2025-01-24T14:27:11" maxSheetId="2" userName="Третьякова Елена Владимировна" r:id="rId312" minRId="7023">
    <sheetIdMap count="1">
      <sheetId val="1"/>
    </sheetIdMap>
  </header>
  <header guid="{2A96782D-FF24-408C-98CE-C127B1E46BF1}" dateTime="2025-01-24T14:27:57" maxSheetId="2" userName="Третьякова Елена Владимировна" r:id="rId313" minRId="7024">
    <sheetIdMap count="1">
      <sheetId val="1"/>
    </sheetIdMap>
  </header>
  <header guid="{87BA8FEF-23BD-4F61-ABE9-704C7111912A}" dateTime="2025-01-24T14:29:15" maxSheetId="2" userName="Третьякова Елена Владимировна" r:id="rId314" minRId="7025">
    <sheetIdMap count="1">
      <sheetId val="1"/>
    </sheetIdMap>
  </header>
  <header guid="{72D7F2FB-F611-4452-BA20-44472D3FDF81}" dateTime="2025-01-24T14:31:44" maxSheetId="2" userName="Третьякова Елена Владимировна" r:id="rId315" minRId="7026" maxRId="7037">
    <sheetIdMap count="1">
      <sheetId val="1"/>
    </sheetIdMap>
  </header>
  <header guid="{36DC1E9E-1FBF-4EB8-9A5A-5CB0B11865EA}" dateTime="2025-01-24T14:35:21" maxSheetId="2" userName="Третьякова Елена Владимировна" r:id="rId316" minRId="7038" maxRId="7067">
    <sheetIdMap count="1">
      <sheetId val="1"/>
    </sheetIdMap>
  </header>
  <header guid="{BE19F183-77F9-414B-ACD8-F738D16A7BD3}" dateTime="2025-01-24T14:36:20" maxSheetId="2" userName="Третьякова Елена Владимировна" r:id="rId317" minRId="7070" maxRId="7072">
    <sheetIdMap count="1">
      <sheetId val="1"/>
    </sheetIdMap>
  </header>
  <header guid="{63E6E816-6EC4-4689-89D4-1B9BD1A4ACB7}" dateTime="2025-01-24T14:37:08" maxSheetId="2" userName="Третьякова Елена Владимировна" r:id="rId318" minRId="7073" maxRId="7075">
    <sheetIdMap count="1">
      <sheetId val="1"/>
    </sheetIdMap>
  </header>
  <header guid="{FF06042F-71C1-4027-BEF1-B2FBB05F531A}" dateTime="2025-01-24T14:40:16" maxSheetId="2" userName="Третьякова Елена Владимировна" r:id="rId319" minRId="7076" maxRId="7103">
    <sheetIdMap count="1">
      <sheetId val="1"/>
    </sheetIdMap>
  </header>
  <header guid="{1D36A40A-5543-4063-BF46-E985236A5EB0}" dateTime="2025-01-24T14:44:38" maxSheetId="2" userName="Третьякова Елена Владимировна" r:id="rId320" minRId="7106" maxRId="7139">
    <sheetIdMap count="1">
      <sheetId val="1"/>
    </sheetIdMap>
  </header>
  <header guid="{3AB8667C-627E-41D2-84E7-4F42D7040064}" dateTime="2025-01-24T14:45:56" maxSheetId="2" userName="Третьякова Елена Владимировна" r:id="rId321" minRId="7142" maxRId="7162">
    <sheetIdMap count="1">
      <sheetId val="1"/>
    </sheetIdMap>
  </header>
  <header guid="{E829B9C6-D5E0-4E0A-B4F1-FA32D3C74AEB}" dateTime="2025-01-24T14:47:39" maxSheetId="2" userName="Третьякова Елена Владимировна" r:id="rId322" minRId="7165" maxRId="7167">
    <sheetIdMap count="1">
      <sheetId val="1"/>
    </sheetIdMap>
  </header>
  <header guid="{F3D71273-9DC3-4D63-A567-27A426051DAB}" dateTime="2025-01-24T14:48:59" maxSheetId="2" userName="Третьякова Елена Владимировна" r:id="rId323" minRId="7170">
    <sheetIdMap count="1">
      <sheetId val="1"/>
    </sheetIdMap>
  </header>
  <header guid="{B375CABC-E1EA-4074-A6AF-C674DB34668D}" dateTime="2025-01-24T14:50:30" maxSheetId="2" userName="Третьякова Елена Владимировна" r:id="rId324" minRId="7173" maxRId="7175">
    <sheetIdMap count="1">
      <sheetId val="1"/>
    </sheetIdMap>
  </header>
  <header guid="{EDB98EBA-5A9C-4972-BC3E-0B196D4F8153}" dateTime="2025-01-24T14:54:02" maxSheetId="2" userName="Третьякова Елена Владимировна" r:id="rId325" minRId="7176">
    <sheetIdMap count="1">
      <sheetId val="1"/>
    </sheetIdMap>
  </header>
  <header guid="{E34DA34A-3973-48C7-83F0-167524527AA1}" dateTime="2025-01-24T14:57:44" maxSheetId="2" userName="Третьякова Елена Владимировна" r:id="rId326" minRId="7177" maxRId="7179">
    <sheetIdMap count="1">
      <sheetId val="1"/>
    </sheetIdMap>
  </header>
  <header guid="{1C828135-D6F5-4158-9885-E32FA27B3569}" dateTime="2025-01-27T08:54:36" maxSheetId="2" userName="Третьякова Елена Владимировна" r:id="rId327" minRId="7180" maxRId="7182">
    <sheetIdMap count="1">
      <sheetId val="1"/>
    </sheetIdMap>
  </header>
  <header guid="{EB27BF4F-1049-42FA-AF2D-455A4CD818B0}" dateTime="2025-01-27T08:58:50" maxSheetId="2" userName="Третьякова Елена Владимировна" r:id="rId328" minRId="7185" maxRId="7217">
    <sheetIdMap count="1">
      <sheetId val="1"/>
    </sheetIdMap>
  </header>
  <header guid="{1519F0AD-E61D-4F0B-8669-5DECAD20DA5D}" dateTime="2025-01-27T09:03:07" maxSheetId="2" userName="Третьякова Елена Владимировна" r:id="rId329" minRId="7220" maxRId="7246">
    <sheetIdMap count="1">
      <sheetId val="1"/>
    </sheetIdMap>
  </header>
  <header guid="{8213B22A-DB79-49C4-8784-07C4615DC3F2}" dateTime="2025-01-27T09:03:25" maxSheetId="2" userName="Третьякова Елена Владимировна" r:id="rId330" minRId="7249" maxRId="7251">
    <sheetIdMap count="1">
      <sheetId val="1"/>
    </sheetIdMap>
  </header>
  <header guid="{E6FB0AC9-6E6A-4619-AE85-E19545B5C26B}" dateTime="2025-01-27T09:04:25" maxSheetId="2" userName="Третьякова Елена Владимировна" r:id="rId331" minRId="7252" maxRId="7254">
    <sheetIdMap count="1">
      <sheetId val="1"/>
    </sheetIdMap>
  </header>
  <header guid="{2197D4C5-FEB4-4877-84EF-512AC431989D}" dateTime="2025-01-27T09:05:11" maxSheetId="2" userName="Третьякова Елена Владимировна" r:id="rId332" minRId="7255" maxRId="7257">
    <sheetIdMap count="1">
      <sheetId val="1"/>
    </sheetIdMap>
  </header>
  <header guid="{D42A099F-0CA1-46E8-A289-7E16A49B888F}" dateTime="2025-01-27T09:06:22" maxSheetId="2" userName="Третьякова Елена Владимировна" r:id="rId333" minRId="7258">
    <sheetIdMap count="1">
      <sheetId val="1"/>
    </sheetIdMap>
  </header>
  <header guid="{67DE713E-02B6-45DF-A79D-A7BB25A0E7C8}" dateTime="2025-01-27T09:11:40" maxSheetId="2" userName="Третьякова Елена Владимировна" r:id="rId334" minRId="7259">
    <sheetIdMap count="1">
      <sheetId val="1"/>
    </sheetIdMap>
  </header>
  <header guid="{6CCF4B84-BACB-4DA8-A15A-DFB69E731DE5}" dateTime="2025-01-27T09:56:07" maxSheetId="2" userName="Третьякова Елена Владимировна" r:id="rId335" minRId="7260">
    <sheetIdMap count="1">
      <sheetId val="1"/>
    </sheetIdMap>
  </header>
  <header guid="{79D4906E-715F-47DE-8D1A-82E363D525E9}" dateTime="2025-01-27T09:58:34" maxSheetId="2" userName="Третьякова Елена Владимировна" r:id="rId336" minRId="7261" maxRId="7288">
    <sheetIdMap count="1">
      <sheetId val="1"/>
    </sheetIdMap>
  </header>
  <header guid="{C232CB33-A7D2-4F23-B0BC-F384CB23D0D4}" dateTime="2025-01-27T09:59:50" maxSheetId="2" userName="Третьякова Елена Владимировна" r:id="rId337" minRId="7291">
    <sheetIdMap count="1">
      <sheetId val="1"/>
    </sheetIdMap>
  </header>
  <header guid="{08287EDF-B9ED-46C7-ADBD-28C12A10DE91}" dateTime="2025-01-27T10:03:56" maxSheetId="2" userName="Третьякова Елена Владимировна" r:id="rId338" minRId="7292" maxRId="7313">
    <sheetIdMap count="1">
      <sheetId val="1"/>
    </sheetIdMap>
  </header>
  <header guid="{2B23F4DD-BE26-4C61-AEF6-5AFB60EC3FE8}" dateTime="2025-01-27T10:04:15" maxSheetId="2" userName="Третьякова Елена Владимировна" r:id="rId339" minRId="7314">
    <sheetIdMap count="1">
      <sheetId val="1"/>
    </sheetIdMap>
  </header>
  <header guid="{B6ADF31A-26D0-49C2-BA99-4A53C56DAFAB}" dateTime="2025-01-27T10:07:22" maxSheetId="2" userName="Третьякова Елена Владимировна" r:id="rId340" minRId="7315" maxRId="7323">
    <sheetIdMap count="1">
      <sheetId val="1"/>
    </sheetIdMap>
  </header>
  <header guid="{39F60E13-AEEA-4EE0-9806-13524640FAB9}" dateTime="2025-01-27T10:08:23" maxSheetId="2" userName="Третьякова Елена Владимировна" r:id="rId341" minRId="7324" maxRId="7326">
    <sheetIdMap count="1">
      <sheetId val="1"/>
    </sheetIdMap>
  </header>
  <header guid="{0C37FDC9-04C4-4B91-BE8A-7DE698D512F3}" dateTime="2025-01-27T10:08:56" maxSheetId="2" userName="Третьякова Елена Владимировна" r:id="rId342">
    <sheetIdMap count="1">
      <sheetId val="1"/>
    </sheetIdMap>
  </header>
  <header guid="{9F661FBE-3908-4775-8F5E-D7BB2D822E26}" dateTime="2025-01-27T10:09:40" maxSheetId="2" userName="Третьякова Елена Владимировна" r:id="rId343" minRId="7329" maxRId="7341">
    <sheetIdMap count="1">
      <sheetId val="1"/>
    </sheetIdMap>
  </header>
  <header guid="{7EE6210F-2B0B-4618-8F57-D97CEC979F0C}" dateTime="2025-01-27T10:58:20" maxSheetId="2" userName="Третьякова Елена Владимировна" r:id="rId344" minRId="7342" maxRId="7350">
    <sheetIdMap count="1">
      <sheetId val="1"/>
    </sheetIdMap>
  </header>
  <header guid="{2F0E9377-0820-4AC5-BE16-305A2E946E36}" dateTime="2025-01-27T10:58:39" maxSheetId="2" userName="Третьякова Елена Владимировна" r:id="rId345" minRId="7353" maxRId="7354">
    <sheetIdMap count="1">
      <sheetId val="1"/>
    </sheetIdMap>
  </header>
  <header guid="{8F9596C1-1FFB-4C95-9FE2-A0A8F4F2EBB0}" dateTime="2025-01-27T13:48:41" maxSheetId="2" userName="feu09" r:id="rId346" minRId="7355" maxRId="7377">
    <sheetIdMap count="1">
      <sheetId val="1"/>
    </sheetIdMap>
  </header>
  <header guid="{2BBC23EF-C0D8-4EF4-AA25-0CA61E888BBD}" dateTime="2025-01-27T13:52:34" maxSheetId="2" userName="feu09" r:id="rId347">
    <sheetIdMap count="1">
      <sheetId val="1"/>
    </sheetIdMap>
  </header>
  <header guid="{C732F49A-F0E0-42C5-B42C-F617F959973F}" dateTime="2025-01-27T14:03:06" maxSheetId="2" userName="Третьякова Елена Владимировна" r:id="rId348">
    <sheetIdMap count="1">
      <sheetId val="1"/>
    </sheetIdMap>
  </header>
  <header guid="{46CBF2A1-D181-4D68-BA50-765DA524BD6A}" dateTime="2025-02-07T12:21:48" maxSheetId="2" userName="Латышева Ольга Яковлевна" r:id="rId349" minRId="7384" maxRId="7388">
    <sheetIdMap count="1">
      <sheetId val="1"/>
    </sheetIdMap>
  </header>
  <header guid="{6390691A-EA5F-42A8-9CEE-F8783A714C81}" dateTime="2025-02-07T12:22:47" maxSheetId="2" userName="Латышева Ольга Яковлевна" r:id="rId350" minRId="7392" maxRId="7393">
    <sheetIdMap count="1">
      <sheetId val="1"/>
    </sheetIdMap>
  </header>
  <header guid="{9F26B6FF-36AB-46C6-835D-2695DCBD587D}" dateTime="2025-02-07T12:24:34" maxSheetId="2" userName="Латышева Ольга Яковлевна" r:id="rId351" minRId="7394" maxRId="7400">
    <sheetIdMap count="1">
      <sheetId val="1"/>
    </sheetIdMap>
  </header>
  <header guid="{04465415-3AA4-4E45-9895-ADD2A4B7790E}" dateTime="2025-02-07T12:25:06" maxSheetId="2" userName="Латышева Ольга Яковлевна" r:id="rId352" minRId="7401">
    <sheetIdMap count="1">
      <sheetId val="1"/>
    </sheetIdMap>
  </header>
  <header guid="{E49A586C-3703-451E-9FEA-AD1B7297CA48}" dateTime="2025-02-07T12:25:38" maxSheetId="2" userName="Латышева Ольга Яковлевна" r:id="rId353" minRId="7402">
    <sheetIdMap count="1">
      <sheetId val="1"/>
    </sheetIdMap>
  </header>
  <header guid="{CF7FA38E-CE98-4C06-8E70-B8B093B03431}" dateTime="2025-02-09T17:30:08" maxSheetId="2" userName="Александра" r:id="rId354">
    <sheetIdMap count="1">
      <sheetId val="1"/>
    </sheetIdMap>
  </header>
  <header guid="{97BBD081-668D-49A5-AF28-FE18A2410E00}" dateTime="2025-02-09T18:29:36" maxSheetId="2" userName="Александра" r:id="rId355">
    <sheetIdMap count="1">
      <sheetId val="1"/>
    </sheetIdMap>
  </header>
  <header guid="{8DABE408-1BF4-4218-BB7C-8E658F61FF2A}" dateTime="2025-02-09T18:42:00" maxSheetId="2" userName="Александра" r:id="rId356">
    <sheetIdMap count="1">
      <sheetId val="1"/>
    </sheetIdMap>
  </header>
  <header guid="{473AB582-0BE5-49D7-92CC-EF54B0FD1092}" dateTime="2025-02-21T11:28:00" maxSheetId="2" userName="Третьякова Елена Владимировна" r:id="rId357" minRId="7412">
    <sheetIdMap count="1">
      <sheetId val="1"/>
    </sheetIdMap>
  </header>
  <header guid="{3D1C37D9-C19B-4D34-A5AE-B587CD3AED1C}" dateTime="2025-02-21T11:28:45" maxSheetId="2" userName="Третьякова Елена Владимировна" r:id="rId358" minRId="7415">
    <sheetIdMap count="1">
      <sheetId val="1"/>
    </sheetIdMap>
  </header>
  <header guid="{FEA56380-7F77-4EFC-9DA1-B02F73075E90}" dateTime="2025-02-21T11:39:24" maxSheetId="2" userName="Третьякова Елена Владимировна" r:id="rId359" minRId="7416" maxRId="7419">
    <sheetIdMap count="1">
      <sheetId val="1"/>
    </sheetIdMap>
  </header>
  <header guid="{047B42DF-D162-477E-AC83-A514BD7CBA6E}" dateTime="2025-02-21T11:39:57" maxSheetId="2" userName="Третьякова Елена Владимировна" r:id="rId360" minRId="7420">
    <sheetIdMap count="1">
      <sheetId val="1"/>
    </sheetIdMap>
  </header>
  <header guid="{52176210-EDE7-48F9-98F3-375A77EF5F65}" dateTime="2025-02-21T11:40:09" maxSheetId="2" userName="Третьякова Елена Владимировна" r:id="rId361" minRId="7421">
    <sheetIdMap count="1">
      <sheetId val="1"/>
    </sheetIdMap>
  </header>
  <header guid="{2D9A861F-4C4A-4BD7-942E-A67E8A6073F2}" dateTime="2025-02-24T09:11:37" maxSheetId="2" userName="Третьякова Елена Владимировна" r:id="rId362" minRId="7422">
    <sheetIdMap count="1">
      <sheetId val="1"/>
    </sheetIdMap>
  </header>
  <header guid="{F1907D3A-8B2A-4FF9-8F20-641719D0852E}" dateTime="2025-02-24T09:12:47" maxSheetId="2" userName="Третьякова Елена Владимировна" r:id="rId363" minRId="7425" maxRId="7426">
    <sheetIdMap count="1">
      <sheetId val="1"/>
    </sheetIdMap>
  </header>
  <header guid="{A7D8A9C9-8145-47C5-AD19-B768B96A2982}" dateTime="2025-02-24T09:32:23" maxSheetId="2" userName="Третьякова Елена Владимировна" r:id="rId364">
    <sheetIdMap count="1">
      <sheetId val="1"/>
    </sheetIdMap>
  </header>
  <header guid="{7F20B4ED-214C-43C2-8480-C13122783A86}" dateTime="2025-03-31T12:26:16" maxSheetId="2" userName="Третьякова Елена Владимировна" r:id="rId365" minRId="7429" maxRId="7430">
    <sheetIdMap count="1">
      <sheetId val="1"/>
    </sheetIdMap>
  </header>
  <header guid="{7476DDA2-F153-42AC-B6AE-16CC8DEF8807}" dateTime="2025-03-31T12:28:52" maxSheetId="2" userName="Третьякова Елена Владимировна" r:id="rId366" minRId="7431" maxRId="7463">
    <sheetIdMap count="1">
      <sheetId val="1"/>
    </sheetIdMap>
  </header>
  <header guid="{7CEF5A0B-0664-4FCD-A9CB-ADEB3BA6D9A8}" dateTime="2025-03-31T12:29:36" maxSheetId="2" userName="Третьякова Елена Владимировна" r:id="rId367" minRId="7466" maxRId="7467">
    <sheetIdMap count="1">
      <sheetId val="1"/>
    </sheetIdMap>
  </header>
  <header guid="{341478FA-172B-48A9-B9DC-03F79AAFFBB6}" dateTime="2025-03-31T12:31:04" maxSheetId="2" userName="Третьякова Елена Владимировна" r:id="rId368" minRId="7468" maxRId="7480">
    <sheetIdMap count="1">
      <sheetId val="1"/>
    </sheetIdMap>
  </header>
  <header guid="{C6C8F379-BAE4-4505-844A-13B23F26F072}" dateTime="2025-03-31T12:33:22" maxSheetId="2" userName="Третьякова Елена Владимировна" r:id="rId369" minRId="7481" maxRId="7502">
    <sheetIdMap count="1">
      <sheetId val="1"/>
    </sheetIdMap>
  </header>
  <header guid="{41780BF8-BF18-4927-979C-EDC5234B74B1}" dateTime="2025-03-31T12:34:10" maxSheetId="2" userName="Третьякова Елена Владимировна" r:id="rId370" minRId="7503">
    <sheetIdMap count="1">
      <sheetId val="1"/>
    </sheetIdMap>
  </header>
  <header guid="{7E29354F-3EBC-42D5-A85D-5821869D2CD8}" dateTime="2025-03-31T12:45:22" maxSheetId="2" userName="Третьякова Елена Владимировна" r:id="rId371" minRId="7504" maxRId="7529">
    <sheetIdMap count="1">
      <sheetId val="1"/>
    </sheetIdMap>
  </header>
  <header guid="{F9C2C59C-D573-4473-BBA2-29229BBE35B9}" dateTime="2025-03-31T12:46:04" maxSheetId="2" userName="Третьякова Елена Владимировна" r:id="rId372" minRId="7530" maxRId="7535">
    <sheetIdMap count="1">
      <sheetId val="1"/>
    </sheetIdMap>
  </header>
  <header guid="{0F03E207-E6E5-488F-9B7D-CE9A68FA6BC7}" dateTime="2025-03-31T12:47:34" maxSheetId="2" userName="Третьякова Елена Владимировна" r:id="rId373" minRId="7536" maxRId="7542">
    <sheetIdMap count="1">
      <sheetId val="1"/>
    </sheetIdMap>
  </header>
  <header guid="{6AEAA33E-33B9-4135-85D7-5CF335A80D0B}" dateTime="2025-03-31T12:48:59" maxSheetId="2" userName="Третьякова Елена Владимировна" r:id="rId374" minRId="7543" maxRId="7545">
    <sheetIdMap count="1">
      <sheetId val="1"/>
    </sheetIdMap>
  </header>
  <header guid="{A0BF2C8F-3C06-47CE-AF16-3633930F6601}" dateTime="2025-03-31T12:49:22" maxSheetId="2" userName="Третьякова Елена Владимировна" r:id="rId375" minRId="7546">
    <sheetIdMap count="1">
      <sheetId val="1"/>
    </sheetIdMap>
  </header>
  <header guid="{3C8F5E35-2A80-4297-89E5-49CC3EB4BE33}" dateTime="2025-03-31T12:51:58" maxSheetId="2" userName="Третьякова Елена Владимировна" r:id="rId376" minRId="7547" maxRId="7561">
    <sheetIdMap count="1">
      <sheetId val="1"/>
    </sheetIdMap>
  </header>
  <header guid="{83FBCDC7-E68E-44A3-8E10-89073913184B}" dateTime="2025-03-31T12:53:01" maxSheetId="2" userName="Третьякова Елена Владимировна" r:id="rId377" minRId="7562" maxRId="7570">
    <sheetIdMap count="1">
      <sheetId val="1"/>
    </sheetIdMap>
  </header>
  <header guid="{D1FF9AAA-58A4-4BAD-8E99-8490DD88343F}" dateTime="2025-03-31T12:54:06" maxSheetId="2" userName="Третьякова Елена Владимировна" r:id="rId378" minRId="7571" maxRId="7579">
    <sheetIdMap count="1">
      <sheetId val="1"/>
    </sheetIdMap>
  </header>
  <header guid="{B057B425-FA21-408E-B97C-D4AB2BDBAF13}" dateTime="2025-03-31T12:54:18" maxSheetId="2" userName="Третьякова Елена Владимировна" r:id="rId379" minRId="7580" maxRId="7581">
    <sheetIdMap count="1">
      <sheetId val="1"/>
    </sheetIdMap>
  </header>
  <header guid="{468FA64E-75A8-4BFA-BBEB-A7217AC799CE}" dateTime="2025-03-31T14:12:47" maxSheetId="2" userName="Третьякова Елена Владимировна" r:id="rId380" minRId="7582" maxRId="7585">
    <sheetIdMap count="1">
      <sheetId val="1"/>
    </sheetIdMap>
  </header>
  <header guid="{694DE1DE-DB62-4401-9FB6-EA19F90BED71}" dateTime="2025-03-31T14:13:18" maxSheetId="2" userName="Третьякова Елена Владимировна" r:id="rId381" minRId="7586" maxRId="7587">
    <sheetIdMap count="1">
      <sheetId val="1"/>
    </sheetIdMap>
  </header>
  <header guid="{554A6E81-18C5-4754-B478-29B96AD5911C}" dateTime="2025-03-31T14:14:17" maxSheetId="2" userName="Третьякова Елена Владимировна" r:id="rId382" minRId="7588" maxRId="7590">
    <sheetIdMap count="1">
      <sheetId val="1"/>
    </sheetIdMap>
  </header>
  <header guid="{FC929C3B-4BAA-4428-B940-49200933602C}" dateTime="2025-03-31T14:15:35" maxSheetId="2" userName="Третьякова Елена Владимировна" r:id="rId383" minRId="7591" maxRId="7592">
    <sheetIdMap count="1">
      <sheetId val="1"/>
    </sheetIdMap>
  </header>
  <header guid="{2B1A49C4-AE1D-48A7-BD78-63FF6EC71374}" dateTime="2025-03-31T14:17:13" maxSheetId="2" userName="Третьякова Елена Владимировна" r:id="rId384" minRId="7593">
    <sheetIdMap count="1">
      <sheetId val="1"/>
    </sheetIdMap>
  </header>
  <header guid="{BD901BA2-76FB-4C54-8D2C-D5470A8BD4A1}" dateTime="2025-03-31T14:18:04" maxSheetId="2" userName="Третьякова Елена Владимировна" r:id="rId385" minRId="7594" maxRId="7595">
    <sheetIdMap count="1">
      <sheetId val="1"/>
    </sheetIdMap>
  </header>
  <header guid="{91B4E92A-6E72-4FDE-AFB8-E603D94ECA48}" dateTime="2025-03-31T14:20:42" maxSheetId="2" userName="Третьякова Елена Владимировна" r:id="rId386" minRId="7596" maxRId="7623">
    <sheetIdMap count="1">
      <sheetId val="1"/>
    </sheetIdMap>
  </header>
  <header guid="{2684D295-5459-4A84-85FA-C894914A8BEE}" dateTime="2025-03-31T14:22:47" maxSheetId="2" userName="Третьякова Елена Владимировна" r:id="rId387" minRId="7624" maxRId="7651">
    <sheetIdMap count="1">
      <sheetId val="1"/>
    </sheetIdMap>
  </header>
  <header guid="{C171685E-3C42-4862-9DF8-20639E2572FE}" dateTime="2025-03-31T14:24:37" maxSheetId="2" userName="Третьякова Елена Владимировна" r:id="rId388" minRId="7654" maxRId="7678">
    <sheetIdMap count="1">
      <sheetId val="1"/>
    </sheetIdMap>
  </header>
  <header guid="{BCFBE166-E0F5-43E9-B655-6D7A9488AC37}" dateTime="2025-03-31T14:26:01" maxSheetId="2" userName="Третьякова Елена Владимировна" r:id="rId389" minRId="7679" maxRId="7689">
    <sheetIdMap count="1">
      <sheetId val="1"/>
    </sheetIdMap>
  </header>
  <header guid="{215CEEBC-97D9-4D0A-BF7A-AB18B3D346A0}" dateTime="2025-03-31T14:30:41" maxSheetId="2" userName="Третьякова Елена Владимировна" r:id="rId390" minRId="7690" maxRId="7711">
    <sheetIdMap count="1">
      <sheetId val="1"/>
    </sheetIdMap>
  </header>
  <header guid="{C8CDED68-67C6-4673-B90B-05CE86DD1CB0}" dateTime="2025-03-31T14:30:48" maxSheetId="2" userName="Третьякова Елена Владимировна" r:id="rId391">
    <sheetIdMap count="1">
      <sheetId val="1"/>
    </sheetIdMap>
  </header>
  <header guid="{5C2F4AED-BACC-4BB1-82B9-3252851DBA39}" dateTime="2025-03-31T14:34:54" maxSheetId="2" userName="Третьякова Елена Владимировна" r:id="rId392">
    <sheetIdMap count="1">
      <sheetId val="1"/>
    </sheetIdMap>
  </header>
  <header guid="{E6BB67C6-5CFA-4D2B-BDF5-EC64E67FCCE1}" dateTime="2025-03-31T14:39:20" maxSheetId="2" userName="Третьякова Елена Владимировна" r:id="rId393" minRId="7717" maxRId="7744">
    <sheetIdMap count="1">
      <sheetId val="1"/>
    </sheetIdMap>
  </header>
  <header guid="{D94169C6-17EF-4FAA-92DA-03CE68EF37D1}" dateTime="2025-03-31T14:40:45" maxSheetId="2" userName="Третьякова Елена Владимировна" r:id="rId394" minRId="7748" maxRId="7750">
    <sheetIdMap count="1">
      <sheetId val="1"/>
    </sheetIdMap>
  </header>
  <header guid="{6CC00281-B8FC-4ABE-8DBF-0EFB3E120AFC}" dateTime="2025-03-31T14:42:58" maxSheetId="2" userName="Третьякова Елена Владимировна" r:id="rId395" minRId="7751">
    <sheetIdMap count="1">
      <sheetId val="1"/>
    </sheetIdMap>
  </header>
  <header guid="{5CF05334-AA8F-4B92-87F2-D79D733749CC}" dateTime="2025-03-31T14:43:18" maxSheetId="2" userName="Третьякова Елена Владимировна" r:id="rId396" minRId="7752">
    <sheetIdMap count="1">
      <sheetId val="1"/>
    </sheetIdMap>
  </header>
  <header guid="{093FEDDE-98DF-47CC-B462-503B8A6FF81F}" dateTime="2025-03-31T14:45:56" maxSheetId="2" userName="Третьякова Елена Владимировна" r:id="rId397" minRId="7753" maxRId="7780">
    <sheetIdMap count="1">
      <sheetId val="1"/>
    </sheetIdMap>
  </header>
  <header guid="{0B5418A2-0555-4AE8-9BC0-2E593B7C2046}" dateTime="2025-03-31T14:46:28" maxSheetId="2" userName="Третьякова Елена Владимировна" r:id="rId398" minRId="7781">
    <sheetIdMap count="1">
      <sheetId val="1"/>
    </sheetIdMap>
  </header>
  <header guid="{F7B5E0E2-E5E0-4CD4-A360-63E2C61EDA23}" dateTime="2025-03-31T14:47:16" maxSheetId="2" userName="Третьякова Елена Владимировна" r:id="rId399" minRId="7782" maxRId="7783">
    <sheetIdMap count="1">
      <sheetId val="1"/>
    </sheetIdMap>
  </header>
  <header guid="{992677E5-66AE-43EF-AA92-04DF6E73427E}" dateTime="2025-03-31T15:58:13" maxSheetId="2" userName="Третьякова Елена Владимировна" r:id="rId400" minRId="7784">
    <sheetIdMap count="1">
      <sheetId val="1"/>
    </sheetIdMap>
  </header>
  <header guid="{F1946B31-E738-4B1A-B953-0E9BF254B289}" dateTime="2025-03-31T16:02:45" maxSheetId="2" userName="Третьякова Елена Владимировна" r:id="rId401" minRId="7785">
    <sheetIdMap count="1">
      <sheetId val="1"/>
    </sheetIdMap>
  </header>
  <header guid="{8E7D5706-E0FF-42CC-868B-55207C5A5152}" dateTime="2025-03-31T16:09:21" maxSheetId="2" userName="Третьякова Елена Владимировна" r:id="rId402" minRId="7786">
    <sheetIdMap count="1">
      <sheetId val="1"/>
    </sheetIdMap>
  </header>
  <header guid="{E5DAF137-9E27-437A-9D24-A2B8184ACA60}" dateTime="2025-03-31T16:13:57" maxSheetId="2" userName="Третьякова Елена Владимировна" r:id="rId403" minRId="7787" maxRId="7799">
    <sheetIdMap count="1">
      <sheetId val="1"/>
    </sheetIdMap>
  </header>
  <header guid="{D442845E-B561-4DEC-BAF7-973AA8080173}" dateTime="2025-03-31T16:16:12" maxSheetId="2" userName="Третьякова Елена Владимировна" r:id="rId404" minRId="7800" maxRId="7821">
    <sheetIdMap count="1">
      <sheetId val="1"/>
    </sheetIdMap>
  </header>
  <header guid="{706EB2C4-D6D1-45DD-BE8B-A2BBCE060E92}" dateTime="2025-04-01T08:49:51" maxSheetId="2" userName="Третьякова Елена Владимировна" r:id="rId405" minRId="7822" maxRId="7828">
    <sheetIdMap count="1">
      <sheetId val="1"/>
    </sheetIdMap>
  </header>
  <header guid="{492F0099-B434-4674-A00D-03F058E7A900}" dateTime="2025-04-01T08:52:35" maxSheetId="2" userName="Третьякова Елена Владимировна" r:id="rId406" minRId="7832">
    <sheetIdMap count="1">
      <sheetId val="1"/>
    </sheetIdMap>
  </header>
  <header guid="{AA5C7574-2778-4182-B55C-E1022F620B54}" dateTime="2025-04-01T09:01:38" maxSheetId="2" userName="Третьякова Елена Владимировна" r:id="rId407" minRId="7833">
    <sheetIdMap count="1">
      <sheetId val="1"/>
    </sheetIdMap>
  </header>
  <header guid="{60DBA2C9-F820-4C0F-BE7F-04E92595CF47}" dateTime="2025-04-01T09:03:51" maxSheetId="2" userName="Третьякова Елена Владимировна" r:id="rId408" minRId="7834" maxRId="7835">
    <sheetIdMap count="1">
      <sheetId val="1"/>
    </sheetIdMap>
  </header>
  <header guid="{C67A50E5-99EF-4F7E-900C-CFAF3C757903}" dateTime="2025-04-01T09:24:35" maxSheetId="2" userName="Третьякова Елена Владимировна" r:id="rId409" minRId="7839">
    <sheetIdMap count="1">
      <sheetId val="1"/>
    </sheetIdMap>
  </header>
  <header guid="{A6E67F99-28DD-43FB-B74A-748D4EDDE3DB}" dateTime="2025-04-01T09:39:49" maxSheetId="2" userName="Третьякова Елена Владимировна" r:id="rId410" minRId="7843">
    <sheetIdMap count="1">
      <sheetId val="1"/>
    </sheetIdMap>
  </header>
  <header guid="{58D55CFA-C292-4063-BD3A-70C8133BA1AF}" dateTime="2025-04-01T10:01:18" maxSheetId="2" userName="Третьякова Елена Владимировна" r:id="rId411" minRId="7847">
    <sheetIdMap count="1">
      <sheetId val="1"/>
    </sheetIdMap>
  </header>
  <header guid="{CF6B532F-A8BA-4F30-8FC6-9A720B282C4F}" dateTime="2025-04-01T11:02:30" maxSheetId="2" userName="Третьякова Елена Владимировна" r:id="rId412" minRId="7851">
    <sheetIdMap count="1">
      <sheetId val="1"/>
    </sheetIdMap>
  </header>
  <header guid="{921A1303-6310-414F-A7DB-BEB89CFA3884}" dateTime="2025-04-01T11:08:08" maxSheetId="2" userName="Третьякова Елена Владимировна" r:id="rId413" minRId="7855">
    <sheetIdMap count="1">
      <sheetId val="1"/>
    </sheetIdMap>
  </header>
  <header guid="{484C3626-6730-44FB-A2B9-DA12996900B0}" dateTime="2025-04-01T11:14:01" maxSheetId="2" userName="Третьякова Елена Владимировна" r:id="rId414" minRId="7859">
    <sheetIdMap count="1">
      <sheetId val="1"/>
    </sheetIdMap>
  </header>
  <header guid="{51ADE675-1495-43DD-992E-D41ABA17D9B4}" dateTime="2025-04-01T11:32:15" maxSheetId="2" userName="Третьякова Елена Владимировна" r:id="rId415" minRId="7863">
    <sheetIdMap count="1">
      <sheetId val="1"/>
    </sheetIdMap>
  </header>
  <header guid="{4D9851B9-108C-4350-85B8-3DDFA2B19042}" dateTime="2025-04-01T14:13:54" maxSheetId="2" userName="Третьякова Елена Владимировна" r:id="rId416" minRId="7864" maxRId="7865">
    <sheetIdMap count="1">
      <sheetId val="1"/>
    </sheetIdMap>
  </header>
  <header guid="{569A7FA4-7EC1-4E68-9859-913E76341798}" dateTime="2025-04-01T14:20:58" maxSheetId="2" userName="Третьякова Елена Владимировна" r:id="rId417" minRId="7869">
    <sheetIdMap count="1">
      <sheetId val="1"/>
    </sheetIdMap>
  </header>
  <header guid="{8F3C8682-EB74-47F6-A4D8-F95383439D3E}" dateTime="2025-04-01T14:27:26" maxSheetId="2" userName="Третьякова Елена Владимировна" r:id="rId418" minRId="7870">
    <sheetIdMap count="1">
      <sheetId val="1"/>
    </sheetIdMap>
  </header>
  <header guid="{B77F7A2E-AC64-4B7E-9597-A5A637F7AE2A}" dateTime="2025-04-01T14:37:09" maxSheetId="2" userName="Третьякова Елена Владимировна" r:id="rId419">
    <sheetIdMap count="1">
      <sheetId val="1"/>
    </sheetIdMap>
  </header>
  <header guid="{38FF9D25-3AA6-418C-9024-E3886885F280}" dateTime="2025-04-10T10:43:14" maxSheetId="2" userName="Латышева Ольга Яковлевна" r:id="rId420" minRId="7871">
    <sheetIdMap count="1">
      <sheetId val="1"/>
    </sheetIdMap>
  </header>
  <header guid="{067F5054-BBC2-4E3A-B421-C608ADA8859B}" dateTime="2025-04-10T11:46:31" maxSheetId="2" userName="Третьякова Елена Владимировна" r:id="rId421" minRId="7875">
    <sheetIdMap count="1">
      <sheetId val="1"/>
    </sheetIdMap>
  </header>
  <header guid="{BC98F429-7AB8-4C2F-A11A-1642DC68373D}" dateTime="2025-04-10T11:51:31" maxSheetId="2" userName="Третьякова Елена Владимировна" r:id="rId422" minRId="7879" maxRId="7894">
    <sheetIdMap count="1">
      <sheetId val="1"/>
    </sheetIdMap>
  </header>
  <header guid="{4E90818C-74D5-4DDD-9171-8660427A29B6}" dateTime="2025-04-10T11:55:29" maxSheetId="2" userName="Третьякова Елена Владимировна" r:id="rId423" minRId="7895" maxRId="7897">
    <sheetIdMap count="1">
      <sheetId val="1"/>
    </sheetIdMap>
  </header>
  <header guid="{B965B15F-E3DF-4390-BDB3-B02B3300A19A}" dateTime="2025-04-10T11:56:44" maxSheetId="2" userName="Третьякова Елена Владимировна" r:id="rId424" minRId="7898" maxRId="7906">
    <sheetIdMap count="1">
      <sheetId val="1"/>
    </sheetIdMap>
  </header>
  <header guid="{2DC48852-648E-4EE8-B446-AA295A6D0B14}" dateTime="2025-04-10T11:58:19" maxSheetId="2" userName="Третьякова Елена Владимировна" r:id="rId425" minRId="7907">
    <sheetIdMap count="1">
      <sheetId val="1"/>
    </sheetIdMap>
  </header>
  <header guid="{89152DCD-C925-41C6-A9E3-2A8DD0B93566}" dateTime="2025-04-10T11:59:27" maxSheetId="2" userName="Третьякова Елена Владимировна" r:id="rId426" minRId="7908">
    <sheetIdMap count="1">
      <sheetId val="1"/>
    </sheetIdMap>
  </header>
  <header guid="{C103B070-8ABE-4CA2-885F-9FEF8781E637}" dateTime="2025-04-10T12:00:13" maxSheetId="2" userName="Третьякова Елена Владимировна" r:id="rId427" minRId="7909">
    <sheetIdMap count="1">
      <sheetId val="1"/>
    </sheetIdMap>
  </header>
  <header guid="{87609F74-5B7C-4069-A3EC-74C45CCA7871}" dateTime="2025-04-10T12:00:34" maxSheetId="2" userName="Третьякова Елена Владимировна" r:id="rId428" minRId="7910">
    <sheetIdMap count="1">
      <sheetId val="1"/>
    </sheetIdMap>
  </header>
  <header guid="{5D9E2246-38E8-4753-979F-0FD5F7D27EC5}" dateTime="2025-04-10T12:01:51" maxSheetId="2" userName="Третьякова Елена Владимировна" r:id="rId429" minRId="7911" maxRId="7912">
    <sheetIdMap count="1">
      <sheetId val="1"/>
    </sheetIdMap>
  </header>
  <header guid="{F509940E-665F-4E85-A0E3-F9511592B531}" dateTime="2025-04-10T12:02:51" maxSheetId="2" userName="Третьякова Елена Владимировна" r:id="rId430" minRId="7913">
    <sheetIdMap count="1">
      <sheetId val="1"/>
    </sheetIdMap>
  </header>
  <header guid="{A9F12BE2-DABF-4E1C-8FAD-EC89E6E409C2}" dateTime="2025-04-10T12:06:35" maxSheetId="2" userName="Третьякова Елена Владимировна" r:id="rId431" minRId="7914" maxRId="7915">
    <sheetIdMap count="1">
      <sheetId val="1"/>
    </sheetIdMap>
  </header>
  <header guid="{6D97872B-DB77-4883-9170-7856168149EA}" dateTime="2025-04-10T12:07:36" maxSheetId="2" userName="Третьякова Елена Владимировна" r:id="rId432" minRId="7916" maxRId="7917">
    <sheetIdMap count="1">
      <sheetId val="1"/>
    </sheetIdMap>
  </header>
  <header guid="{A6CC9317-930C-4CB0-B2B7-6474A12977DE}" dateTime="2025-04-10T12:09:47" maxSheetId="2" userName="Третьякова Елена Владимировна" r:id="rId433" minRId="7918" maxRId="7940">
    <sheetIdMap count="1">
      <sheetId val="1"/>
    </sheetIdMap>
  </header>
  <header guid="{34690E47-F38D-492E-AFD7-95BA01796FBA}" dateTime="2025-04-10T12:33:49" maxSheetId="2" userName="Третьякова Елена Владимировна" r:id="rId434" minRId="7941" maxRId="7942">
    <sheetIdMap count="1">
      <sheetId val="1"/>
    </sheetIdMap>
  </header>
  <header guid="{34AA1720-B57E-4030-9532-57A374B4B32D}" dateTime="2025-04-10T12:34:12" maxSheetId="2" userName="Третьякова Елена Владимировна" r:id="rId435" minRId="7943">
    <sheetIdMap count="1">
      <sheetId val="1"/>
    </sheetIdMap>
  </header>
  <header guid="{4A250FA4-3C8E-4499-BAD4-1C89D0CA8C07}" dateTime="2025-04-11T10:43:44" maxSheetId="2" userName="Третьякова Елена Владимировна" r:id="rId436" minRId="7944" maxRId="7967">
    <sheetIdMap count="1">
      <sheetId val="1"/>
    </sheetIdMap>
  </header>
  <header guid="{8E9BC3FB-E18E-403E-9E0E-B83574EDE212}" dateTime="2025-04-11T10:46:43" maxSheetId="2" userName="Третьякова Елена Владимировна" r:id="rId437" minRId="7971" maxRId="8002">
    <sheetIdMap count="1">
      <sheetId val="1"/>
    </sheetIdMap>
  </header>
  <header guid="{4D89BD1B-0572-41CD-A8E9-7DFD53BE4D51}" dateTime="2025-04-11T10:48:20" maxSheetId="2" userName="Третьякова Елена Владимировна" r:id="rId438" minRId="8006" maxRId="8026">
    <sheetIdMap count="1">
      <sheetId val="1"/>
    </sheetIdMap>
  </header>
  <header guid="{4FD1E33C-DBA2-4CA6-AE54-FEBA1362AD92}" dateTime="2025-04-11T10:48:44" maxSheetId="2" userName="Третьякова Елена Владимировна" r:id="rId439" minRId="8030">
    <sheetIdMap count="1">
      <sheetId val="1"/>
    </sheetIdMap>
  </header>
  <header guid="{036B82AB-E557-481B-9132-E2056BBE4404}" dateTime="2025-04-11T10:49:05" maxSheetId="2" userName="Третьякова Елена Владимировна" r:id="rId440" minRId="8031">
    <sheetIdMap count="1">
      <sheetId val="1"/>
    </sheetIdMap>
  </header>
  <header guid="{9AD32092-172F-4F29-8AD9-56D3F1068C4A}" dateTime="2025-04-11T10:50:17" maxSheetId="2" userName="Третьякова Елена Владимировна" r:id="rId441" minRId="8032" maxRId="8049">
    <sheetIdMap count="1">
      <sheetId val="1"/>
    </sheetIdMap>
  </header>
  <header guid="{24EDBF59-4515-4A17-B4C6-8462BB32B59C}" dateTime="2025-04-11T11:05:32" maxSheetId="2" userName="Третьякова Елена Владимировна" r:id="rId442" minRId="8050" maxRId="8054">
    <sheetIdMap count="1">
      <sheetId val="1"/>
    </sheetIdMap>
  </header>
  <header guid="{A5796DA4-05EF-459B-8E00-B847AF010053}" dateTime="2025-04-11T11:07:21" maxSheetId="2" userName="Третьякова Елена Владимировна" r:id="rId443" minRId="8055" maxRId="8073">
    <sheetIdMap count="1">
      <sheetId val="1"/>
    </sheetIdMap>
  </header>
  <header guid="{A4EF2498-8DCC-4FD3-96E3-415AACEBD6B0}" dateTime="2025-04-11T11:09:02" maxSheetId="2" userName="Третьякова Елена Владимировна" r:id="rId444" minRId="8074" maxRId="8096">
    <sheetIdMap count="1">
      <sheetId val="1"/>
    </sheetIdMap>
  </header>
  <header guid="{FFB7BECC-9093-4C40-BF1F-8C1FC2392BD1}" dateTime="2025-04-11T11:13:30" maxSheetId="2" userName="Третьякова Елена Владимировна" r:id="rId445" minRId="8100" maxRId="8102">
    <sheetIdMap count="1">
      <sheetId val="1"/>
    </sheetIdMap>
  </header>
  <header guid="{2F5B8938-49BB-4F9B-9423-10C3B71AABE9}" dateTime="2025-04-11T11:13:48" maxSheetId="2" userName="Третьякова Елена Владимировна" r:id="rId446" minRId="8103">
    <sheetIdMap count="1">
      <sheetId val="1"/>
    </sheetIdMap>
  </header>
  <header guid="{B25FB821-3AED-4752-B07F-97C6397210C1}" dateTime="2025-04-11T11:14:00" maxSheetId="2" userName="Третьякова Елена Владимировна" r:id="rId447" minRId="8104">
    <sheetIdMap count="1">
      <sheetId val="1"/>
    </sheetIdMap>
  </header>
  <header guid="{D8CC2100-134E-4D4F-A578-25CD51925846}" dateTime="2025-04-11T11:14:59" maxSheetId="2" userName="Третьякова Елена Владимировна" r:id="rId448" minRId="8105">
    <sheetIdMap count="1">
      <sheetId val="1"/>
    </sheetIdMap>
  </header>
  <header guid="{9C712584-1093-46CC-8719-72419FE8277A}" dateTime="2025-04-11T13:32:17" maxSheetId="2" userName="Третьякова Елена Владимировна" r:id="rId449" minRId="8106" maxRId="8108">
    <sheetIdMap count="1">
      <sheetId val="1"/>
    </sheetIdMap>
  </header>
  <header guid="{2FF4D71A-F338-4259-BCF2-E1AB2D963CD3}" dateTime="2025-04-11T13:33:02" maxSheetId="2" userName="Третьякова Елена Владимировна" r:id="rId450" minRId="8109">
    <sheetIdMap count="1">
      <sheetId val="1"/>
    </sheetIdMap>
  </header>
  <header guid="{9BD8EE19-FD97-4658-A32C-850DCFDCBF5C}" dateTime="2025-04-11T13:33:19" maxSheetId="2" userName="Третьякова Елена Владимировна" r:id="rId451" minRId="8110">
    <sheetIdMap count="1">
      <sheetId val="1"/>
    </sheetIdMap>
  </header>
  <header guid="{65C83BBA-73EE-40CF-B0AC-80B491CA07D1}" dateTime="2025-04-11T13:58:16" maxSheetId="2" userName="Третьякова Елена Владимировна" r:id="rId452" minRId="8111" maxRId="8112">
    <sheetIdMap count="1">
      <sheetId val="1"/>
    </sheetIdMap>
  </header>
  <header guid="{ADEB2E9F-6960-4ABE-A008-D3FD2CC13983}" dateTime="2025-04-11T13:59:36" maxSheetId="2" userName="Третьякова Елена Владимировна" r:id="rId453" minRId="8116" maxRId="8117">
    <sheetIdMap count="1">
      <sheetId val="1"/>
    </sheetIdMap>
  </header>
  <header guid="{B7BD2038-1A34-41ED-9D2D-9F26F4B08937}" dateTime="2025-04-11T14:03:26" maxSheetId="2" userName="Третьякова Елена Владимировна" r:id="rId454" minRId="8118" maxRId="8139">
    <sheetIdMap count="1">
      <sheetId val="1"/>
    </sheetIdMap>
  </header>
  <header guid="{D861C7C4-0002-4FF3-8106-CC9B16282CAE}" dateTime="2025-04-11T14:08:16" maxSheetId="2" userName="Третьякова Елена Владимировна" r:id="rId455" minRId="8140">
    <sheetIdMap count="1">
      <sheetId val="1"/>
    </sheetIdMap>
  </header>
  <header guid="{F75183C5-8308-41B4-877E-B79B7CCEE55C}" dateTime="2025-04-11T14:12:34" maxSheetId="2" userName="Третьякова Елена Владимировна" r:id="rId456" minRId="8141">
    <sheetIdMap count="1">
      <sheetId val="1"/>
    </sheetIdMap>
  </header>
  <header guid="{18E1A662-CB90-4CDE-A24B-B0CD6F06F3FD}" dateTime="2025-04-11T14:21:15" maxSheetId="2" userName="Третьякова Елена Владимировна" r:id="rId457" minRId="8142" maxRId="8146">
    <sheetIdMap count="1">
      <sheetId val="1"/>
    </sheetIdMap>
  </header>
  <header guid="{27C1CCCD-0606-4253-835A-043C4BE49CDD}" dateTime="2025-04-11T14:22:28" maxSheetId="2" userName="Третьякова Елена Владимировна" r:id="rId458" minRId="8147">
    <sheetIdMap count="1">
      <sheetId val="1"/>
    </sheetIdMap>
  </header>
  <header guid="{62B62861-21A2-476A-B803-D745A7FC4515}" dateTime="2025-04-11T14:31:42" maxSheetId="2" userName="Третьякова Елена Владимировна" r:id="rId459" minRId="8148" maxRId="8151">
    <sheetIdMap count="1">
      <sheetId val="1"/>
    </sheetIdMap>
  </header>
  <header guid="{F7FFCA97-BF0E-43CD-9B6F-329A4DF1084A}" dateTime="2025-04-14T14:16:21" maxSheetId="2" userName="Молчанова Елена Валерьевна" r:id="rId460" minRId="8152" maxRId="8156">
    <sheetIdMap count="1">
      <sheetId val="1"/>
    </sheetIdMap>
  </header>
  <header guid="{48D2CD9D-77DC-4813-A6DC-5F52CDE8822A}" dateTime="2025-04-14T15:34:57" maxSheetId="2" userName="Латышева Ольга Яковлевна" r:id="rId461">
    <sheetIdMap count="1">
      <sheetId val="1"/>
    </sheetIdMap>
  </header>
  <header guid="{D9D7D78A-98D3-4E4E-98B3-06786EC64A93}" dateTime="2025-04-14T16:21:29" maxSheetId="2" userName="Латышева Ольга Яковлевна" r:id="rId462">
    <sheetIdMap count="1">
      <sheetId val="1"/>
    </sheetIdMap>
  </header>
  <header guid="{2BE1DA0D-D030-486E-B8CD-66567BC1239E}" dateTime="2025-04-29T15:52:15" maxSheetId="2" userName="Латышева Ольга Яковлевна" r:id="rId463" minRId="8163">
    <sheetIdMap count="1">
      <sheetId val="1"/>
    </sheetIdMap>
  </header>
  <header guid="{79EBB81C-0D77-44FE-9C68-8051F350AA43}" dateTime="2025-04-29T16:32:53" maxSheetId="2" userName="Латышева Ольга Яковлевна" r:id="rId46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1" sqref="A80">
    <dxf>
      <numFmt numFmtId="0" formatCode="General"/>
    </dxf>
  </rfmt>
  <rcc rId="8152" sId="1" numFmtId="34">
    <oc r="E425">
      <v>2500000</v>
    </oc>
    <nc r="E425">
      <f>2500000+10000000</f>
    </nc>
  </rcc>
  <rcc rId="8153" sId="1" numFmtId="34">
    <oc r="D425">
      <v>858626.15</v>
    </oc>
    <nc r="D425">
      <f>858626.15+200000</f>
    </nc>
  </rcc>
  <rcc rId="8154" sId="1">
    <oc r="D237">
      <f>5173948.61-11650+80000+200000</f>
    </oc>
    <nc r="D237">
      <f>5173948.61-11650+80000+200000-200000</f>
    </nc>
  </rcc>
  <rcc rId="8155" sId="1">
    <oc r="D350">
      <f>415161.41-51658.57+35000</f>
    </oc>
    <nc r="D350">
      <f>415161.41-51658.57+35000+446783.24</f>
    </nc>
  </rcc>
  <rcc rId="8156" sId="1">
    <oc r="E756">
      <f>18548424.79-2289983.02</f>
    </oc>
    <nc r="E756">
      <f>18548424.79-2289983.02-10000000</f>
    </nc>
  </rcc>
  <rcv guid="{9A752CC5-36AC-48BE-BF4B-1A38C4015906}" action="delete"/>
  <rdn rId="0" localSheetId="1" customView="1" name="Z_9A752CC5_36AC_48BE_BF4B_1A38C4015906_.wvu.PrintArea" hidden="1" oldHidden="1">
    <formula>'программы '!$A$1:$F$758</formula>
    <oldFormula>'программы '!$A$1:$F$758</oldFormula>
  </rdn>
  <rdn rId="0" localSheetId="1" customView="1" name="Z_9A752CC5_36AC_48BE_BF4B_1A38C4015906_.wvu.Rows" hidden="1" oldHidden="1">
    <formula>'программы '!$655:$658</formula>
  </rdn>
  <rdn rId="0" localSheetId="1" customView="1" name="Z_9A752CC5_36AC_48BE_BF4B_1A38C4015906_.wvu.FilterData" hidden="1" oldHidden="1">
    <formula>'программы '!$C$1:$C$766</formula>
    <oldFormula>'программы '!$A$16:$F$300</oldFormula>
  </rdn>
  <rcv guid="{9A752CC5-36AC-48BE-BF4B-1A38C4015906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78" sId="1">
    <oc r="D634">
      <f>D635+D643+D639</f>
    </oc>
    <nc r="D634">
      <f>D635+D643+D639+D664</f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0" sId="1">
    <oc r="F4" t="inlineStr">
      <is>
        <t xml:space="preserve">от                  апреля 2024 года №   </t>
      </is>
    </oc>
    <nc r="F4" t="inlineStr">
      <is>
        <t xml:space="preserve">от                  июня 2024 года №   </t>
      </is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31" sId="1" ref="A329:XFD329" action="insertRow"/>
  <rrc rId="4232" sId="1" ref="A329:XFD329" action="insertRow"/>
  <rrc rId="4233" sId="1" ref="A329:XFD329" action="insertRow"/>
  <rcc rId="4234" sId="1">
    <nc r="C331">
      <v>612</v>
    </nc>
  </rcc>
  <rcc rId="4235" sId="1">
    <nc r="C330">
      <v>610</v>
    </nc>
  </rcc>
  <rcc rId="4236" sId="1">
    <nc r="C329">
      <v>600</v>
    </nc>
  </rcc>
  <rcc rId="4237" sId="1" xfDxf="1" s="1" dxf="1">
    <nc r="B331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238" sId="1" xfDxf="1" s="1" dxf="1">
    <nc r="B330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239" sId="1" xfDxf="1" s="1" dxf="1">
    <nc r="B329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rc rId="4240" sId="1" ref="A329:XFD329" action="insertRow"/>
  <rrc rId="4241" sId="1" ref="A329:XFD329" action="insertRow"/>
  <rrc rId="4242" sId="1" ref="A329:XFD329" action="insertRow"/>
  <rrc rId="4243" sId="1" ref="A329:XFD329" action="insertRow"/>
  <rcc rId="4244" sId="1">
    <nc r="C332">
      <v>244</v>
    </nc>
  </rcc>
  <rcc rId="4245" sId="1">
    <nc r="C331">
      <v>240</v>
    </nc>
  </rcc>
  <rcc rId="4246" sId="1">
    <nc r="C330">
      <v>200</v>
    </nc>
  </rcc>
  <rcc rId="4247" sId="1" xfDxf="1" s="1" dxf="1">
    <nc r="B332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248" sId="1" xfDxf="1" s="1" dxf="1">
    <nc r="B331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249" sId="1" xfDxf="1" s="1" dxf="1">
    <nc r="B330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250" sId="1" xfDxf="1" s="1" dxf="1">
    <nc r="B329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251" sId="1" xfDxf="1" dxf="1">
    <nc r="A335" t="inlineStr">
      <is>
        <t>Субсидии бюджетным учреждениям на иные цели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52" sId="1" xfDxf="1" dxf="1">
    <nc r="A334" t="inlineStr">
      <is>
        <t>Субсидии бюджетным учреждениям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53" sId="1" xfDxf="1" dxf="1">
    <nc r="A333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54" sId="1" xfDxf="1" dxf="1">
    <nc r="A332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55" sId="1" xfDxf="1" dxf="1">
    <nc r="A331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56" sId="1" xfDxf="1" dxf="1">
    <nc r="A330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57" sId="1" xfDxf="1" dxf="1">
    <nc r="A329" t="inlineStr">
      <is>
        <t>Реализация мероприятий по содействию трудоустройству несовершеннолетних граждан на территории Архангельской области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329:XFD335">
    <dxf>
      <fill>
        <patternFill>
          <bgColor rgb="FF00B050"/>
        </patternFill>
      </fill>
    </dxf>
  </rfmt>
  <rcc rId="4258" sId="1">
    <nc r="D334">
      <f>D335</f>
    </nc>
  </rcc>
  <rcc rId="4259" sId="1">
    <nc r="E334">
      <f>E335</f>
    </nc>
  </rcc>
  <rcc rId="4260" sId="1">
    <nc r="F334">
      <f>F335</f>
    </nc>
  </rcc>
  <rcc rId="4261" sId="1">
    <nc r="D333">
      <f>D334</f>
    </nc>
  </rcc>
  <rcc rId="4262" sId="1">
    <nc r="E333">
      <f>E334</f>
    </nc>
  </rcc>
  <rcc rId="4263" sId="1">
    <nc r="F333">
      <f>F334</f>
    </nc>
  </rcc>
  <rcc rId="4264" sId="1">
    <nc r="D331">
      <f>D332</f>
    </nc>
  </rcc>
  <rcc rId="4265" sId="1">
    <nc r="E331">
      <f>E332</f>
    </nc>
  </rcc>
  <rcc rId="4266" sId="1">
    <nc r="F331">
      <f>F332</f>
    </nc>
  </rcc>
  <rcc rId="4267" sId="1">
    <nc r="D330">
      <f>D331</f>
    </nc>
  </rcc>
  <rcc rId="4268" sId="1">
    <nc r="E330">
      <f>E331</f>
    </nc>
  </rcc>
  <rcc rId="4269" sId="1">
    <nc r="F330">
      <f>F331</f>
    </nc>
  </rcc>
  <rcc rId="4270" sId="1">
    <nc r="D329">
      <f>D330+D333</f>
    </nc>
  </rcc>
  <rcc rId="4271" sId="1">
    <nc r="E329">
      <f>E330+E333</f>
    </nc>
  </rcc>
  <rcc rId="4272" sId="1">
    <nc r="F329">
      <f>F330+F333</f>
    </nc>
  </rcc>
  <rcv guid="{D9B90A86-BE39-4FED-8226-084809D277F3}" action="delete"/>
  <rdn rId="0" localSheetId="1" customView="1" name="Z_D9B90A86_BE39_4FED_8226_084809D277F3_.wvu.PrintArea" hidden="1" oldHidden="1">
    <formula>'программы '!$A$1:$F$909</formula>
    <oldFormula>'программы '!$A$1:$F$909</oldFormula>
  </rdn>
  <rdn rId="0" localSheetId="1" customView="1" name="Z_D9B90A86_BE39_4FED_8226_084809D277F3_.wvu.FilterData" hidden="1" oldHidden="1">
    <formula>'программы '!$C$1:$C$917</formula>
    <oldFormula>'программы '!$C$1:$C$917</oldFormula>
  </rdn>
  <rcv guid="{D9B90A86-BE39-4FED-8226-084809D277F3}" action="add"/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5" sId="1">
    <oc r="D322">
      <f>D323+D337+D326</f>
    </oc>
    <nc r="D322">
      <f>D323+D337+D326+D329</f>
    </nc>
  </rcc>
  <rcc rId="4276" sId="1">
    <oc r="E322">
      <f>E323+E337+E326</f>
    </oc>
    <nc r="E322">
      <f>E323+E337+E326+E329</f>
    </nc>
  </rcc>
  <rcc rId="4277" sId="1">
    <oc r="F322">
      <f>F323+F337+F326</f>
    </oc>
    <nc r="F322">
      <f>F323+F337+F326+F329</f>
    </nc>
  </rcc>
  <rrc rId="4278" sId="1" ref="A329:XFD329" action="insertRow"/>
  <rrc rId="4279" sId="1" ref="A329:XFD329" action="insertRow"/>
  <rrc rId="4280" sId="1" ref="A329:XFD329" action="insertRow"/>
  <rrc rId="4281" sId="1" ref="A329:XFD329" action="insertRow"/>
  <rcc rId="4282" sId="1">
    <nc r="C332">
      <v>244</v>
    </nc>
  </rcc>
  <rcc rId="4283" sId="1">
    <nc r="C331">
      <v>240</v>
    </nc>
  </rcc>
  <rcc rId="4284" sId="1">
    <nc r="C330">
      <v>200</v>
    </nc>
  </rcc>
  <rcc rId="4285" sId="1" xfDxf="1" s="1" dxf="1">
    <nc r="B332" t="inlineStr">
      <is>
        <t>06 2 00 S4420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286" sId="1" xfDxf="1" s="1" dxf="1">
    <nc r="B331" t="inlineStr">
      <is>
        <t>06 2 00 S4420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287" sId="1" xfDxf="1" s="1" dxf="1">
    <nc r="B330" t="inlineStr">
      <is>
        <t>06 2 00 S4420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288" sId="1" xfDxf="1" s="1" dxf="1">
    <nc r="B329" t="inlineStr">
      <is>
        <t>06 2 00 S4420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289" sId="1" xfDxf="1" dxf="1">
    <nc r="A329" t="inlineStr">
      <is>
        <t>Ремонт, реконструкция, благоустройство и установка памятников, обелисков, мемориалов, памятных досок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'!$A$1:$F$913</formula>
    <oldFormula>'программы '!$A$1:$F$913</oldFormula>
  </rdn>
  <rdn rId="0" localSheetId="1" customView="1" name="Z_D9B90A86_BE39_4FED_8226_084809D277F3_.wvu.FilterData" hidden="1" oldHidden="1">
    <formula>'программы '!$C$1:$C$921</formula>
    <oldFormula>'программы '!$C$1:$C$921</oldFormula>
  </rdn>
  <rcv guid="{D9B90A86-BE39-4FED-8226-084809D277F3}" action="add"/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92" sId="1" ref="A329:XFD329" action="insertRow"/>
  <rm rId="4293" sheetId="1" source="A341:XFD341" destination="A329:XFD329" sourceSheetId="1">
    <rfmt sheetId="1" xfDxf="1" sqref="A329:XFD329" start="0" length="0">
      <dxf>
        <font>
          <name val="Times New Roman"/>
          <scheme val="none"/>
        </font>
        <alignment vertical="center" readingOrder="0"/>
      </dxf>
    </rfmt>
    <rfmt sheetId="1" sqref="A329" start="0" length="0">
      <dxf>
        <fill>
          <patternFill patternType="solid">
            <bgColor theme="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B329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C329" start="0" length="0">
      <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329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29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29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4" sId="1" ref="A341:XFD341" action="deleteRow">
    <rfmt sheetId="1" xfDxf="1" sqref="A341:XFD341" start="0" length="0">
      <dxf>
        <font>
          <sz val="11"/>
          <name val="Times New Roman"/>
          <scheme val="none"/>
        </font>
        <alignment vertical="center" readingOrder="0"/>
      </dxf>
    </rfmt>
    <rfmt sheetId="1" sqref="A341" start="0" length="0">
      <dxf>
        <fill>
          <patternFill patternType="solid">
            <bgColor theme="0"/>
          </patternFill>
        </fill>
      </dxf>
    </rfmt>
    <rfmt sheetId="1" sqref="B341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C341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D341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</dxf>
    </rfmt>
    <rfmt sheetId="1" sqref="E341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</dxf>
    </rfmt>
    <rfmt sheetId="1" sqref="F341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</dxf>
    </rfmt>
  </rrc>
  <rcc rId="4295" sId="1" xfDxf="1" dxf="1">
    <nc r="A331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96" sId="1" xfDxf="1" dxf="1">
    <nc r="A332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97" sId="1" xfDxf="1" dxf="1">
    <nc r="A333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98" sId="1">
    <nc r="D332">
      <f>D333</f>
    </nc>
  </rcc>
  <rcc rId="4299" sId="1">
    <nc r="E332">
      <f>E333</f>
    </nc>
  </rcc>
  <rcc rId="4300" sId="1">
    <nc r="F332">
      <f>F333</f>
    </nc>
  </rcc>
  <rcc rId="4301" sId="1">
    <nc r="D330">
      <f>D331</f>
    </nc>
  </rcc>
  <rcc rId="4302" sId="1">
    <nc r="E330">
      <f>E331</f>
    </nc>
  </rcc>
  <rcc rId="4303" sId="1">
    <nc r="F330">
      <f>F331</f>
    </nc>
  </rcc>
  <rcc rId="4304" sId="1">
    <nc r="D331">
      <f>D332</f>
    </nc>
  </rcc>
  <rcc rId="4305" sId="1">
    <nc r="E331">
      <f>E332</f>
    </nc>
  </rcc>
  <rcc rId="4306" sId="1">
    <nc r="F331">
      <f>F332</f>
    </nc>
  </rcc>
  <rfmt sheetId="1" sqref="A330:XFD333">
    <dxf>
      <fill>
        <patternFill>
          <bgColor rgb="FF00B050"/>
        </patternFill>
      </fill>
    </dxf>
  </rfmt>
  <rcc rId="4307" sId="1">
    <oc r="D322">
      <f>D323+D341+D326+D334</f>
    </oc>
    <nc r="D322">
      <f>D323+D341+D326+D334+D330</f>
    </nc>
  </rcc>
  <rcc rId="4308" sId="1">
    <oc r="E322">
      <f>E323+E341+E326+E334</f>
    </oc>
    <nc r="E322">
      <f>E323+E341+E326+E334+E330</f>
    </nc>
  </rcc>
  <rcc rId="4309" sId="1">
    <oc r="F322">
      <f>F323+F341+F326+F334</f>
    </oc>
    <nc r="F322">
      <f>F323+F341+F326+F334+F330</f>
    </nc>
  </rcc>
  <rcv guid="{D9B90A86-BE39-4FED-8226-084809D277F3}" action="delete"/>
  <rdn rId="0" localSheetId="1" customView="1" name="Z_D9B90A86_BE39_4FED_8226_084809D277F3_.wvu.PrintArea" hidden="1" oldHidden="1">
    <formula>'программы '!$A$1:$F$913</formula>
    <oldFormula>'программы '!$A$1:$F$913</oldFormula>
  </rdn>
  <rdn rId="0" localSheetId="1" customView="1" name="Z_D9B90A86_BE39_4FED_8226_084809D277F3_.wvu.FilterData" hidden="1" oldHidden="1">
    <formula>'программы '!$C$1:$C$921</formula>
    <oldFormula>'программы '!$C$1:$C$921</oldFormula>
  </rdn>
  <rcv guid="{D9B90A86-BE39-4FED-8226-084809D277F3}" action="add"/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9B90A86-BE39-4FED-8226-084809D277F3}" action="delete"/>
  <rdn rId="0" localSheetId="1" customView="1" name="Z_D9B90A86_BE39_4FED_8226_084809D277F3_.wvu.PrintArea" hidden="1" oldHidden="1">
    <formula>'программы '!$A$1:$F$913</formula>
    <oldFormula>'программы '!$A$1:$F$913</oldFormula>
  </rdn>
  <rdn rId="0" localSheetId="1" customView="1" name="Z_D9B90A86_BE39_4FED_8226_084809D277F3_.wvu.FilterData" hidden="1" oldHidden="1">
    <formula>'программы '!$C$1:$C$921</formula>
    <oldFormula>'программы '!$C$1:$C$921</oldFormula>
  </rdn>
  <rcv guid="{D9B90A86-BE39-4FED-8226-084809D277F3}" action="add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14" sId="1" ref="A249:XFD249" action="insertRow">
    <undo index="0" exp="area" ref3D="1" dr="$A$294:$XFD$298" dn="Z_30E81E54_DD45_4653_9DCD_548F6723F554_.wvu.Rows" sId="1"/>
  </rrc>
  <rrc rId="4315" sId="1" ref="A249:XFD249" action="insertRow">
    <undo index="0" exp="area" ref3D="1" dr="$A$295:$XFD$299" dn="Z_30E81E54_DD45_4653_9DCD_548F6723F554_.wvu.Rows" sId="1"/>
  </rrc>
  <rrc rId="4316" sId="1" ref="A249:XFD249" action="insertRow">
    <undo index="0" exp="area" ref3D="1" dr="$A$296:$XFD$300" dn="Z_30E81E54_DD45_4653_9DCD_548F6723F554_.wvu.Rows" sId="1"/>
  </rrc>
  <rfmt sheetId="1" sqref="A249:XFD251">
    <dxf>
      <fill>
        <patternFill>
          <bgColor rgb="FF00B050"/>
        </patternFill>
      </fill>
    </dxf>
  </rfmt>
  <rcc rId="4317" sId="1">
    <nc r="C251" t="inlineStr">
      <is>
        <t>414</t>
      </is>
    </nc>
  </rcc>
  <rcc rId="4318" sId="1">
    <nc r="C250" t="inlineStr">
      <is>
        <t>410</t>
      </is>
    </nc>
  </rcc>
  <rcc rId="4319" sId="1">
    <nc r="C249" t="inlineStr">
      <is>
        <t>400</t>
      </is>
    </nc>
  </rcc>
  <rcc rId="4320" sId="1" xfDxf="1" dxf="1">
    <nc r="A251" t="inlineStr">
      <is>
        <t>Бюджетные инвестиции в объекты капитального строительства государственной (муниципальной) собственности</t>
      </is>
    </nc>
    <ndxf>
      <font>
        <name val="Times New Roman"/>
        <scheme val="none"/>
      </font>
      <fill>
        <patternFill patternType="solid">
          <bgColor rgb="FF00B05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321" sId="1" xfDxf="1" dxf="1">
    <nc r="A250" t="inlineStr">
      <is>
        <t>Бюджетные инвестиции</t>
      </is>
    </nc>
    <ndxf>
      <font>
        <name val="Times New Roman"/>
        <scheme val="none"/>
      </font>
      <fill>
        <patternFill patternType="solid">
          <bgColor rgb="FF00B05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322" sId="1" xfDxf="1" dxf="1">
    <nc r="A249" t="inlineStr">
      <is>
        <t>Капитальные вложения в объекты государственной (муниципальной) собственности</t>
      </is>
    </nc>
    <ndxf>
      <font>
        <name val="Times New Roman"/>
        <scheme val="none"/>
      </font>
      <fill>
        <patternFill patternType="solid">
          <bgColor rgb="FF00B05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323" sId="1">
    <nc r="B251" t="inlineStr">
      <is>
        <t>04 0 00 Э8160</t>
      </is>
    </nc>
  </rcc>
  <rcc rId="4324" sId="1">
    <nc r="B250" t="inlineStr">
      <is>
        <t>04 0 00 Э8160</t>
      </is>
    </nc>
  </rcc>
  <rcc rId="4325" sId="1">
    <nc r="B249" t="inlineStr">
      <is>
        <t>04 0 00 Э8160</t>
      </is>
    </nc>
  </rcc>
  <rcc rId="4326" sId="1">
    <nc r="D250">
      <f>D251</f>
    </nc>
  </rcc>
  <rcc rId="4327" sId="1">
    <nc r="E250">
      <f>E251</f>
    </nc>
  </rcc>
  <rcc rId="4328" sId="1">
    <nc r="F250">
      <f>F251</f>
    </nc>
  </rcc>
  <rcc rId="4329" sId="1">
    <nc r="D249">
      <f>D250</f>
    </nc>
  </rcc>
  <rcc rId="4330" sId="1">
    <nc r="E249">
      <f>E250</f>
    </nc>
  </rcc>
  <rcc rId="4331" sId="1">
    <nc r="F249">
      <f>F250</f>
    </nc>
  </rcc>
  <rcc rId="4332" sId="1">
    <oc r="D245">
      <f>D246</f>
    </oc>
    <nc r="D245">
      <f>D246+D249</f>
    </nc>
  </rcc>
  <rcc rId="4333" sId="1" odxf="1" s="1" dxf="1">
    <oc r="E245">
      <f>E246</f>
    </oc>
    <nc r="E245">
      <f>E246+E249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odxf>
    <ndxf>
      <border outline="0">
        <bottom style="thin">
          <color indexed="64"/>
        </bottom>
      </border>
    </ndxf>
  </rcc>
  <rcc rId="4334" sId="1" odxf="1" s="1" dxf="1">
    <oc r="F245">
      <f>F246</f>
    </oc>
    <nc r="F245">
      <f>F246+F249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odxf>
    <ndxf>
      <border outline="0"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'!$A$1:$F$916</formula>
    <oldFormula>'программы '!$A$1:$F$916</oldFormula>
  </rdn>
  <rdn rId="0" localSheetId="1" customView="1" name="Z_D9B90A86_BE39_4FED_8226_084809D277F3_.wvu.FilterData" hidden="1" oldHidden="1">
    <formula>'программы '!$C$1:$C$924</formula>
    <oldFormula>'программы '!$C$1:$C$924</oldFormula>
  </rdn>
  <rcv guid="{D9B90A86-BE39-4FED-8226-084809D277F3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37" sId="1" ref="A298:XFD298" action="insertRow">
    <undo index="0" exp="area" ref3D="1" dr="$A$297:$XFD$301" dn="Z_30E81E54_DD45_4653_9DCD_548F6723F554_.wvu.Rows" sId="1"/>
  </rrc>
  <rrc rId="4338" sId="1" ref="A298:XFD298" action="insertRow">
    <undo index="0" exp="area" ref3D="1" dr="$A$297:$XFD$302" dn="Z_30E81E54_DD45_4653_9DCD_548F6723F554_.wvu.Rows" sId="1"/>
  </rrc>
  <rrc rId="4339" sId="1" ref="A299:XFD299" action="insertRow">
    <undo index="0" exp="area" ref3D="1" dr="$A$297:$XFD$303" dn="Z_30E81E54_DD45_4653_9DCD_548F6723F554_.wvu.Rows" sId="1"/>
  </rrc>
  <rrc rId="4340" sId="1" ref="A298:XFD298" action="insertRow">
    <undo index="0" exp="area" ref3D="1" dr="$A$297:$XFD$304" dn="Z_30E81E54_DD45_4653_9DCD_548F6723F554_.wvu.Rows" sId="1"/>
  </rrc>
  <rcc rId="4341" sId="1">
    <nc r="C301">
      <v>244</v>
    </nc>
  </rcc>
  <rcc rId="4342" sId="1">
    <nc r="C300">
      <v>240</v>
    </nc>
  </rcc>
  <rcc rId="4343" sId="1">
    <nc r="C299">
      <v>200</v>
    </nc>
  </rcc>
  <rcc rId="4344" sId="1">
    <nc r="B301" t="inlineStr">
      <is>
        <t>05 4 00 Э8160</t>
      </is>
    </nc>
  </rcc>
  <rcc rId="4345" sId="1">
    <nc r="B300" t="inlineStr">
      <is>
        <t>05 4 00 Э8160</t>
      </is>
    </nc>
  </rcc>
  <rcc rId="4346" sId="1" xfDxf="1" s="1" dxf="1">
    <nc r="B299" t="inlineStr">
      <is>
        <t>05 4 00 Э8160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347" sId="1" xfDxf="1" s="1" dxf="1">
    <nc r="B298" t="inlineStr">
      <is>
        <t>05 4 00 Э8160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348" sId="1" xfDxf="1" dxf="1">
    <nc r="A301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349" sId="1" xfDxf="1" dxf="1">
    <nc r="A300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350" sId="1" xfDxf="1" dxf="1">
    <nc r="A299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351" sId="1" xfDxf="1" dxf="1">
    <nc r="A298" t="inlineStr">
      <is>
        <t>Реализация мероприятий по социально-экономическому развитию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298:XFD301">
    <dxf>
      <fill>
        <patternFill>
          <bgColor theme="5" tint="0.39997558519241921"/>
        </patternFill>
      </fill>
    </dxf>
  </rfmt>
  <rcc rId="4352" sId="1">
    <nc r="D300">
      <f>D301</f>
    </nc>
  </rcc>
  <rcc rId="4353" sId="1">
    <nc r="E300">
      <f>E301</f>
    </nc>
  </rcc>
  <rcc rId="4354" sId="1">
    <nc r="F300">
      <f>F301</f>
    </nc>
  </rcc>
  <rcc rId="4355" sId="1">
    <nc r="D298">
      <f>D299</f>
    </nc>
  </rcc>
  <rcc rId="4356" sId="1">
    <nc r="E298">
      <f>E299</f>
    </nc>
  </rcc>
  <rcc rId="4357" sId="1">
    <nc r="F298">
      <f>F299</f>
    </nc>
  </rcc>
  <rcc rId="4358" sId="1">
    <nc r="D299">
      <f>D300</f>
    </nc>
  </rcc>
  <rcc rId="4359" sId="1">
    <nc r="E299">
      <f>E300</f>
    </nc>
  </rcc>
  <rcc rId="4360" sId="1">
    <nc r="F299">
      <f>F300</f>
    </nc>
  </rcc>
  <rcc rId="4361" sId="1">
    <oc r="D297">
      <f>D305</f>
    </oc>
    <nc r="D297">
      <f>D305+D298</f>
    </nc>
  </rcc>
  <rcc rId="4362" sId="1">
    <oc r="E297">
      <f>E305</f>
    </oc>
    <nc r="E297">
      <f>E305+E298</f>
    </nc>
  </rcc>
  <rcc rId="4363" sId="1">
    <oc r="F297">
      <f>F305</f>
    </oc>
    <nc r="F297">
      <f>F305+F298</f>
    </nc>
  </rcc>
  <rcv guid="{D9B90A86-BE39-4FED-8226-084809D277F3}" action="delete"/>
  <rdn rId="0" localSheetId="1" customView="1" name="Z_D9B90A86_BE39_4FED_8226_084809D277F3_.wvu.PrintArea" hidden="1" oldHidden="1">
    <formula>'программы '!$A$1:$F$920</formula>
    <oldFormula>'программы '!$A$1:$F$920</oldFormula>
  </rdn>
  <rdn rId="0" localSheetId="1" customView="1" name="Z_D9B90A86_BE39_4FED_8226_084809D277F3_.wvu.FilterData" hidden="1" oldHidden="1">
    <formula>'программы '!$C$1:$C$928</formula>
    <oldFormula>'программы '!$C$1:$C$928</oldFormula>
  </rdn>
  <rcv guid="{D9B90A86-BE39-4FED-8226-084809D277F3}" action="add"/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66" sId="1" ref="A818:XFD818" action="insertRow"/>
  <rrc rId="4367" sId="1" ref="A818:XFD818" action="insertRow"/>
  <rrc rId="4368" sId="1" ref="A818:XFD818" action="insertRow"/>
  <rrc rId="4369" sId="1" ref="A819:XFD819" action="insertRow"/>
  <rcc rId="4370" sId="1">
    <nc r="C821">
      <v>247</v>
    </nc>
  </rcc>
  <rcc rId="4371" sId="1">
    <nc r="C820">
      <v>244</v>
    </nc>
  </rcc>
  <rcc rId="4372" sId="1">
    <nc r="C819">
      <v>240</v>
    </nc>
  </rcc>
  <rcc rId="4373" sId="1">
    <nc r="C818">
      <v>200</v>
    </nc>
  </rcc>
  <rcc rId="4374" sId="1" xfDxf="1" dxf="1">
    <nc r="A821" t="inlineStr">
      <is>
        <t>Закупка энергетических ресурсов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818:XFD821">
    <dxf>
      <fill>
        <patternFill>
          <bgColor theme="5" tint="0.39997558519241921"/>
        </patternFill>
      </fill>
    </dxf>
  </rfmt>
  <rcc rId="4375" sId="1" xfDxf="1" dxf="1">
    <nc r="A820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theme="5" tint="0.39997558519241921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6" sId="1" xfDxf="1" dxf="1">
    <nc r="A819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5" tint="0.39997558519241921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7" sId="1" xfDxf="1" dxf="1">
    <nc r="A818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5" tint="0.39997558519241921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8" sId="1">
    <nc r="B821" t="inlineStr">
      <is>
        <t>60 0 00 80020</t>
      </is>
    </nc>
  </rcc>
  <rcc rId="4379" sId="1" xfDxf="1" dxf="1">
    <nc r="B820" t="inlineStr">
      <is>
        <t>60 0 00 80020</t>
      </is>
    </nc>
    <ndxf>
      <font>
        <name val="Times New Roman"/>
        <scheme val="none"/>
      </font>
      <fill>
        <patternFill patternType="solid">
          <bgColor theme="5" tint="0.39997558519241921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380" sId="1" xfDxf="1" dxf="1">
    <nc r="B819" t="inlineStr">
      <is>
        <t>60 0 00 80020</t>
      </is>
    </nc>
    <ndxf>
      <font>
        <name val="Times New Roman"/>
        <scheme val="none"/>
      </font>
      <fill>
        <patternFill patternType="solid">
          <bgColor theme="5" tint="0.39997558519241921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381" sId="1" xfDxf="1" dxf="1">
    <nc r="B818" t="inlineStr">
      <is>
        <t>60 0 00 80020</t>
      </is>
    </nc>
    <ndxf>
      <font>
        <name val="Times New Roman"/>
        <scheme val="none"/>
      </font>
      <fill>
        <patternFill patternType="solid">
          <bgColor theme="5" tint="0.39997558519241921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382" sId="1">
    <nc r="D819">
      <f>D820+D821</f>
    </nc>
  </rcc>
  <rcc rId="4383" sId="1">
    <nc r="E819">
      <f>E820+E821</f>
    </nc>
  </rcc>
  <rcc rId="4384" sId="1">
    <nc r="F819">
      <f>F820+F821</f>
    </nc>
  </rcc>
  <rcc rId="4385" sId="1">
    <nc r="D818">
      <f>D819</f>
    </nc>
  </rcc>
  <rcc rId="4386" sId="1">
    <nc r="E818">
      <f>E819</f>
    </nc>
  </rcc>
  <rcc rId="4387" sId="1">
    <nc r="F818">
      <f>F819</f>
    </nc>
  </rcc>
  <rcc rId="4388" sId="1">
    <oc r="D817">
      <f>D822</f>
    </oc>
    <nc r="D817">
      <f>D822+D818</f>
    </nc>
  </rcc>
  <rcc rId="4389" sId="1">
    <oc r="E817">
      <f>E822</f>
    </oc>
    <nc r="E817">
      <f>E822+E818</f>
    </nc>
  </rcc>
  <rcc rId="4390" sId="1">
    <oc r="F817">
      <f>F822</f>
    </oc>
    <nc r="F817">
      <f>F822+F818</f>
    </nc>
  </rcc>
  <rcv guid="{D9B90A86-BE39-4FED-8226-084809D277F3}" action="delete"/>
  <rdn rId="0" localSheetId="1" customView="1" name="Z_D9B90A86_BE39_4FED_8226_084809D277F3_.wvu.PrintArea" hidden="1" oldHidden="1">
    <formula>'программы '!$A$1:$F$924</formula>
    <oldFormula>'программы '!$A$1:$F$924</oldFormula>
  </rdn>
  <rdn rId="0" localSheetId="1" customView="1" name="Z_D9B90A86_BE39_4FED_8226_084809D277F3_.wvu.FilterData" hidden="1" oldHidden="1">
    <formula>'программы '!$C$1:$C$932</formula>
    <oldFormula>'программы '!$C$1:$C$932</oldFormula>
  </rdn>
  <rcv guid="{D9B90A86-BE39-4FED-8226-084809D277F3}" action="add"/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93" sId="1" ref="A342:XFD342" action="insertRow"/>
  <rrc rId="4394" sId="1" ref="A342:XFD342" action="insertRow"/>
  <rrc rId="4395" sId="1" ref="A342:XFD342" action="insertRow"/>
  <rrc rId="4396" sId="1" ref="A343:XFD343" action="insertRow"/>
  <rrc rId="4397" sId="1" ref="A343:XFD343" action="insertRow"/>
  <rfmt sheetId="1" sqref="A342:XFD346">
    <dxf>
      <fill>
        <patternFill>
          <bgColor theme="7" tint="0.39997558519241921"/>
        </patternFill>
      </fill>
    </dxf>
  </rfmt>
  <rcc rId="4398" sId="1">
    <nc r="C346">
      <v>129</v>
    </nc>
  </rcc>
  <rcc rId="4399" sId="1">
    <nc r="C345">
      <v>121</v>
    </nc>
  </rcc>
  <rcc rId="4400" sId="1">
    <nc r="C344">
      <v>120</v>
    </nc>
  </rcc>
  <rcc rId="4401" sId="1">
    <nc r="C343">
      <v>100</v>
    </nc>
  </rcc>
  <rrc rId="4402" sId="1" ref="A342:XFD342" action="deleteRow">
    <rfmt sheetId="1" xfDxf="1" sqref="A342:XFD342" start="0" length="0">
      <dxf>
        <font>
          <name val="Times New Roman"/>
          <scheme val="none"/>
        </font>
        <fill>
          <patternFill patternType="solid">
            <bgColor theme="7" tint="0.39997558519241921"/>
          </patternFill>
        </fill>
        <alignment vertical="center" readingOrder="0"/>
      </dxf>
    </rfmt>
    <rfmt sheetId="1" sqref="A342" start="0" length="0">
      <dxf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B342" start="0" length="0">
      <dxf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C342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342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42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42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03" sId="1" xfDxf="1" s="1" dxf="1">
    <nc r="B345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7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404" sId="1" xfDxf="1" s="1" dxf="1">
    <nc r="B344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7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405" sId="1" xfDxf="1" s="1" dxf="1">
    <nc r="B343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7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406" sId="1" xfDxf="1" s="1" dxf="1">
    <nc r="B342" t="inlineStr">
      <is>
        <t>06 2 00 S6910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theme="7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407" sId="1" xfDxf="1" dxf="1">
    <nc r="A3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name val="Times New Roman"/>
        <scheme val="none"/>
      </font>
      <fill>
        <patternFill patternType="solid">
          <bgColor theme="7" tint="0.39997558519241921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408" sId="1" xfDxf="1" dxf="1">
    <nc r="A344" t="inlineStr">
      <is>
        <t>Фонд оплаты труда государственных (муниципальных) органов</t>
      </is>
    </nc>
    <ndxf>
      <font>
        <name val="Times New Roman"/>
        <scheme val="none"/>
      </font>
      <fill>
        <patternFill patternType="solid">
          <bgColor theme="7" tint="0.39997558519241921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409" sId="1" xfDxf="1" dxf="1">
    <nc r="A343" t="inlineStr">
      <is>
        <t>Расходы на выплаты персоналу государственных (муниципальных) органов</t>
      </is>
    </nc>
    <ndxf>
      <font>
        <name val="Times New Roman"/>
        <scheme val="none"/>
      </font>
      <fill>
        <patternFill patternType="solid">
          <bgColor theme="7" tint="0.39997558519241921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410" sId="1" xfDxf="1" dxf="1">
    <nc r="A34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ndxf>
      <font>
        <name val="Times New Roman"/>
        <scheme val="none"/>
      </font>
      <fill>
        <patternFill patternType="solid">
          <bgColor theme="7" tint="0.39997558519241921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411" sId="1">
    <nc r="D343">
      <f>D344+D345</f>
    </nc>
  </rcc>
  <rcc rId="4412" sId="1">
    <nc r="E343">
      <f>E344+E345</f>
    </nc>
  </rcc>
  <rcc rId="4413" sId="1">
    <nc r="F343">
      <f>F344+F345</f>
    </nc>
  </rcc>
  <rcc rId="4414" sId="1">
    <nc r="D342">
      <f>D343+D344</f>
    </nc>
  </rcc>
  <rcc rId="4415" sId="1">
    <nc r="E342">
      <f>E343+E344</f>
    </nc>
  </rcc>
  <rcc rId="4416" sId="1">
    <nc r="F342">
      <f>F343+F344</f>
    </nc>
  </rcc>
  <rcc rId="4417" sId="1">
    <oc r="D341">
      <f>D346+D349</f>
    </oc>
    <nc r="D341">
      <f>D346+D349+D342</f>
    </nc>
  </rcc>
  <rcc rId="4418" sId="1">
    <oc r="E341">
      <f>E346+E349</f>
    </oc>
    <nc r="E341">
      <f>E346+E349+E342</f>
    </nc>
  </rcc>
  <rcc rId="4419" sId="1">
    <oc r="F341">
      <f>F346+F349</f>
    </oc>
    <nc r="F341">
      <f>F346+F349+F342</f>
    </nc>
  </rcc>
  <rcv guid="{D9B90A86-BE39-4FED-8226-084809D277F3}" action="delete"/>
  <rdn rId="0" localSheetId="1" customView="1" name="Z_D9B90A86_BE39_4FED_8226_084809D277F3_.wvu.PrintArea" hidden="1" oldHidden="1">
    <formula>'программы '!$A$1:$F$928</formula>
    <oldFormula>'программы '!$A$1:$F$928</oldFormula>
  </rdn>
  <rdn rId="0" localSheetId="1" customView="1" name="Z_D9B90A86_BE39_4FED_8226_084809D277F3_.wvu.FilterData" hidden="1" oldHidden="1">
    <formula>'программы '!$C$1:$C$936</formula>
    <oldFormula>'программы '!$C$1:$C$936</oldFormula>
  </rdn>
  <rcv guid="{D9B90A86-BE39-4FED-8226-084809D277F3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25" sId="1" ref="A782:XFD782" action="insertRow">
    <undo index="16" exp="area" ref3D="1" dr="$A$840:$XFD$843" dn="Z_9A752CC5_36AC_48BE_BF4B_1A38C4015906_.wvu.Rows" sId="1"/>
    <undo index="14" exp="area" ref3D="1" dr="$A$794:$XFD$797" dn="Z_9A752CC5_36AC_48BE_BF4B_1A38C4015906_.wvu.Rows" sId="1"/>
  </rrc>
  <rcc rId="4626" sId="1">
    <nc r="C782">
      <v>243</v>
    </nc>
  </rcc>
  <rcc rId="4627" sId="1">
    <nc r="B782" t="inlineStr">
      <is>
        <t>59 0 00 83650</t>
      </is>
    </nc>
  </rcc>
  <rcc rId="4628" sId="1">
    <nc r="A782" t="inlineStr">
      <is>
        <t>Закупка товаров, работ и услуг в целях капитального ремонта государственного (муниципального) имущества</t>
      </is>
    </nc>
  </rcc>
  <rcc rId="4629" sId="1" numFmtId="34">
    <nc r="D782">
      <v>97542.24</v>
    </nc>
  </rcc>
  <rcc rId="4630" sId="1" numFmtId="34">
    <nc r="E782">
      <v>0</v>
    </nc>
  </rcc>
  <rcc rId="4631" sId="1" numFmtId="34">
    <nc r="F782">
      <v>0</v>
    </nc>
  </rcc>
  <rcc rId="4632" sId="1">
    <oc r="D781">
      <f>D783+D784</f>
    </oc>
    <nc r="D781">
      <f>D783+D784+D782</f>
    </nc>
  </rcc>
  <rcc rId="4633" sId="1">
    <oc r="E781">
      <f>E783+E784</f>
    </oc>
    <nc r="E781">
      <f>E783+E784+E782</f>
    </nc>
  </rcc>
  <rcc rId="4634" sId="1">
    <oc r="F781">
      <f>F783+F784</f>
    </oc>
    <nc r="F781">
      <f>F783+F784+F782</f>
    </nc>
  </rcc>
  <rfmt sheetId="1" sqref="D781">
    <dxf>
      <fill>
        <patternFill patternType="solid">
          <bgColor rgb="FFFFFF00"/>
        </patternFill>
      </fill>
    </dxf>
  </rfmt>
  <rfmt sheetId="1" sqref="D781">
    <dxf>
      <fill>
        <patternFill>
          <bgColor theme="0"/>
        </patternFill>
      </fill>
    </dxf>
  </rfmt>
  <rfmt sheetId="1" sqref="D782">
    <dxf>
      <fill>
        <patternFill patternType="solid">
          <bgColor rgb="FFFFFF00"/>
        </patternFill>
      </fill>
    </dxf>
  </rfmt>
  <rcc rId="4635" sId="1" numFmtId="34">
    <oc r="D82">
      <v>33433445</v>
    </oc>
    <nc r="D82">
      <f>33433445+5411800</f>
    </nc>
  </rcc>
  <rcc rId="4636" sId="1" numFmtId="34">
    <oc r="E126">
      <v>2114504</v>
    </oc>
    <nc r="E126">
      <f>2114504-1057252</f>
    </nc>
  </rcc>
  <rcc rId="4637" sId="1" numFmtId="34">
    <oc r="F126">
      <v>2114504</v>
    </oc>
    <nc r="F126">
      <f>2114504-1057252</f>
    </nc>
  </rcc>
  <rcv guid="{D9B90A86-BE39-4FED-8226-084809D277F3}" action="delete"/>
  <rdn rId="0" localSheetId="1" customView="1" name="Z_D9B90A86_BE39_4FED_8226_084809D277F3_.wvu.PrintArea" hidden="1" oldHidden="1">
    <formula>'программы '!$A$1:$F$938</formula>
    <oldFormula>'программы '!$A$1:$F$938</oldFormula>
  </rdn>
  <rdn rId="0" localSheetId="1" customView="1" name="Z_D9B90A86_BE39_4FED_8226_084809D277F3_.wvu.FilterData" hidden="1" oldHidden="1">
    <formula>'программы '!$C$1:$C$946</formula>
    <oldFormula>'программы '!$C$1:$C$946</oldFormula>
  </rdn>
  <rcv guid="{D9B90A86-BE39-4FED-8226-084809D277F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4422" sId="1" numFmtId="34">
    <oc r="D38">
      <v>5283970.16</v>
    </oc>
    <nc r="D38">
      <v>2659965.94</v>
    </nc>
  </rcc>
  <rcc rId="4423" sId="1" numFmtId="34">
    <oc r="D35">
      <v>52308571</v>
    </oc>
    <nc r="D35">
      <v>54932575.219999999</v>
    </nc>
  </rcc>
  <rcc rId="4424" sId="1" numFmtId="34">
    <oc r="D52">
      <v>208020283</v>
    </oc>
    <nc r="D52">
      <v>185204583</v>
    </nc>
  </rcc>
  <rcc rId="4425" sId="1" numFmtId="34">
    <nc r="F44">
      <v>2271052</v>
    </nc>
  </rcc>
  <rcc rId="4426" sId="1" numFmtId="34">
    <oc r="D90">
      <v>464630619</v>
    </oc>
    <nc r="D90">
      <v>476501319</v>
    </nc>
  </rcc>
  <rfmt sheetId="1" sqref="A91">
    <dxf>
      <numFmt numFmtId="0" formatCode="General"/>
    </dxf>
  </rfmt>
  <rfmt sheetId="1" sqref="A99">
    <dxf>
      <numFmt numFmtId="0" formatCode="General"/>
    </dxf>
  </rfmt>
  <rcc rId="4427" sId="1" numFmtId="34">
    <nc r="E102">
      <v>520282.97</v>
    </nc>
  </rcc>
  <rcc rId="4428" sId="1" numFmtId="34">
    <nc r="F102">
      <v>1551263</v>
    </nc>
  </rcc>
  <rcc rId="4429" sId="1" numFmtId="34">
    <oc r="D126">
      <v>2114504</v>
    </oc>
    <nc r="D126">
      <v>1057252</v>
    </nc>
  </rcc>
  <rcc rId="4430" sId="1" numFmtId="34">
    <oc r="E130">
      <v>2271052</v>
    </oc>
    <nc r="E130">
      <v>1471052</v>
    </nc>
  </rcc>
  <rcc rId="4431" sId="1" numFmtId="34">
    <oc r="F130">
      <v>2271052</v>
    </oc>
    <nc r="F130">
      <v>0</v>
    </nc>
  </rcc>
  <rcc rId="4432" sId="1" numFmtId="34">
    <nc r="E174">
      <v>800000</v>
    </nc>
  </rcc>
  <rcc rId="4433" sId="1" numFmtId="34">
    <oc r="D215">
      <v>11293823.52</v>
    </oc>
    <nc r="D215">
      <v>10668149.41</v>
    </nc>
  </rcc>
  <rcc rId="4434" sId="1" numFmtId="34">
    <oc r="D217">
      <v>3410734.7</v>
    </oc>
    <nc r="D217">
      <v>3221781.1100000003</v>
    </nc>
  </rcc>
  <rcc rId="4435" sId="1" numFmtId="34">
    <oc r="D220">
      <v>700000</v>
    </oc>
    <nc r="D220">
      <v>950000</v>
    </nc>
  </rcc>
  <rcc rId="4436" sId="1" numFmtId="34">
    <oc r="D238">
      <v>3724076.3</v>
    </oc>
    <nc r="D238">
      <v>3624076.3</v>
    </nc>
  </rcc>
  <rcc rId="4437" sId="1" numFmtId="34">
    <oc r="D143">
      <v>85139959.859999999</v>
    </oc>
    <nc r="D143">
      <v>26819445.579999998</v>
    </nc>
  </rcc>
  <rcc rId="4438" sId="1" numFmtId="34">
    <oc r="D139">
      <v>84058344.060000002</v>
    </oc>
    <nc r="D139">
      <v>84058.34</v>
    </nc>
  </rcc>
  <rcc rId="4439" sId="1" numFmtId="34">
    <nc r="D251">
      <v>10000000</v>
    </nc>
  </rcc>
  <rcc rId="4440" sId="1" numFmtId="34">
    <oc r="D248">
      <v>20710000</v>
    </oc>
    <nc r="D248">
      <v>10710000</v>
    </nc>
  </rcc>
  <rcc rId="4441" sId="1" numFmtId="34">
    <nc r="D255">
      <v>1751800</v>
    </nc>
  </rcc>
  <rcc rId="4442" sId="1" numFmtId="34">
    <nc r="E255">
      <v>1751800</v>
    </nc>
  </rcc>
  <rcc rId="4443" sId="1" numFmtId="34">
    <nc r="F255">
      <v>1751800</v>
    </nc>
  </rcc>
  <rcc rId="4444" sId="1" numFmtId="34">
    <oc r="D259">
      <f>7345628.25</f>
    </oc>
    <nc r="D259">
      <v>6128158.25</v>
    </nc>
  </rcc>
  <rcc rId="4445" sId="1" numFmtId="34">
    <oc r="D263">
      <v>1210000</v>
    </oc>
    <nc r="D263">
      <v>1556305.4</v>
    </nc>
  </rcc>
  <rcc rId="4446" sId="1" numFmtId="34">
    <oc r="D272">
      <v>6977090</v>
    </oc>
    <nc r="D272">
      <v>7881164.9000000004</v>
    </nc>
  </rcc>
  <rcc rId="4447" sId="1" numFmtId="34">
    <oc r="E139">
      <v>0</v>
    </oc>
    <nc r="E139">
      <v>172103.03</v>
    </nc>
  </rcc>
  <rrc rId="4448" sId="1" ref="A292:XFD293" action="insertRow">
    <undo index="0" exp="area" ref3D="1" dr="$A$297:$XFD$305" dn="Z_30E81E54_DD45_4653_9DCD_548F6723F554_.wvu.Rows" sId="1"/>
  </rrc>
  <rcc rId="4449" sId="1" odxf="1" s="1" dxf="1">
    <nc r="A292" t="inlineStr">
      <is>
        <t xml:space="preserve">Иные бюджетные ассигнования 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odxf>
    <ndxf>
      <fill>
        <patternFill>
          <bgColor rgb="FF008000"/>
        </patternFill>
      </fill>
      <alignment horizontal="justify" readingOrder="0"/>
    </ndxf>
  </rcc>
  <rcc rId="4450" sId="1" odxf="1" dxf="1">
    <nc r="A293" t="inlineStr">
      <is>
        <t>Уплата налогов, сборов и иных платежей</t>
      </is>
    </nc>
    <odxf>
      <fill>
        <patternFill>
          <bgColor theme="0"/>
        </patternFill>
      </fill>
      <alignment horizontal="general" wrapText="1" readingOrder="0"/>
      <border outline="0">
        <top/>
      </border>
    </odxf>
    <ndxf>
      <fill>
        <patternFill>
          <bgColor rgb="FF008000"/>
        </patternFill>
      </fill>
      <alignment horizontal="justify" wrapText="0" readingOrder="0"/>
      <border outline="0">
        <top style="thin">
          <color indexed="64"/>
        </top>
      </border>
    </ndxf>
  </rcc>
  <rcc rId="4451" sId="1">
    <nc r="B292" t="inlineStr">
      <is>
        <t>05 2 00 80520</t>
      </is>
    </nc>
  </rcc>
  <rcc rId="4452" sId="1" quotePrefix="1">
    <nc r="C292" t="inlineStr">
      <is>
        <t>800</t>
      </is>
    </nc>
  </rcc>
  <rcc rId="4453" sId="1">
    <nc r="B293" t="inlineStr">
      <is>
        <t>05 2 00 80520</t>
      </is>
    </nc>
  </rcc>
  <rcc rId="4454" sId="1" quotePrefix="1">
    <nc r="C293" t="inlineStr">
      <is>
        <t>850</t>
      </is>
    </nc>
  </rcc>
  <rcc rId="4455" sId="1" numFmtId="34">
    <nc r="D293">
      <v>75000</v>
    </nc>
  </rcc>
  <rcc rId="4456" sId="1" numFmtId="34">
    <nc r="D292">
      <f>D293</f>
    </nc>
  </rcc>
  <rcc rId="4457" sId="1">
    <nc r="E292">
      <f>E293</f>
    </nc>
  </rcc>
  <rcc rId="4458" sId="1">
    <nc r="F292">
      <f>F293</f>
    </nc>
  </rcc>
  <rcc rId="4459" sId="1" numFmtId="34">
    <nc r="E293">
      <v>0</v>
    </nc>
  </rcc>
  <rcc rId="4460" sId="1" numFmtId="34">
    <nc r="F293">
      <v>0</v>
    </nc>
  </rcc>
  <rcc rId="4461" sId="1">
    <oc r="D288">
      <f>D290</f>
    </oc>
    <nc r="D288">
      <f>D289+D292</f>
    </nc>
  </rcc>
  <rcc rId="4462" sId="1">
    <oc r="E288">
      <f>E290</f>
    </oc>
    <nc r="E288">
      <f>E289+E292</f>
    </nc>
  </rcc>
  <rcc rId="4463" sId="1">
    <oc r="F288">
      <f>F290</f>
    </oc>
    <nc r="F288">
      <f>F289+F292</f>
    </nc>
  </rcc>
  <rcc rId="4464" sId="1" numFmtId="34">
    <nc r="D303">
      <v>700000</v>
    </nc>
  </rcc>
  <rcc rId="4465" sId="1">
    <oc r="D283">
      <f>D291+D284</f>
    </oc>
    <nc r="D283">
      <f>D284+D288</f>
    </nc>
  </rcc>
  <rcc rId="4466" sId="1">
    <oc r="E283">
      <f>E291+E284</f>
    </oc>
    <nc r="E283">
      <f>E284+E288</f>
    </nc>
  </rcc>
  <rcc rId="4467" sId="1">
    <oc r="F283">
      <f>F291+F284</f>
    </oc>
    <nc r="F283">
      <f>F284+F288</f>
    </nc>
  </rcc>
  <rcc rId="4468" sId="1">
    <oc r="D316">
      <f>626262+540263.29</f>
    </oc>
    <nc r="D316">
      <f>626262+540263.29-648</f>
    </nc>
  </rcc>
  <rcc rId="4469" sId="1" numFmtId="34">
    <nc r="D322">
      <v>648</v>
    </nc>
  </rcc>
  <rcc rId="4470" sId="1" numFmtId="34">
    <nc r="D342">
      <v>1499999</v>
    </nc>
  </rcc>
  <rcc rId="4471" sId="1" numFmtId="34">
    <nc r="D346">
      <v>78750.289999999994</v>
    </nc>
  </rcc>
  <rcc rId="4472" sId="1" numFmtId="34">
    <nc r="D347">
      <v>23782.59</v>
    </nc>
  </rcc>
  <rcc rId="4473" sId="1" numFmtId="34">
    <oc r="D357">
      <v>171912.17</v>
    </oc>
    <nc r="D357">
      <v>44632.900000000009</v>
    </nc>
  </rcc>
  <rcc rId="4474" sId="1">
    <oc r="D344">
      <f>D345+D346</f>
    </oc>
    <nc r="D344">
      <f>D345</f>
    </nc>
  </rcc>
  <rcc rId="4475" sId="1" numFmtId="34">
    <nc r="D353">
      <v>674946.39</v>
    </nc>
  </rcc>
  <rcc rId="4476" sId="1" numFmtId="34">
    <oc r="D374">
      <v>5816247.3700000001</v>
    </oc>
    <nc r="D374">
      <v>18218340.75</v>
    </nc>
  </rcc>
  <rcc rId="4477" sId="1" numFmtId="34">
    <oc r="D382">
      <v>0</v>
    </oc>
    <nc r="D382">
      <v>1252060.8600000001</v>
    </nc>
  </rcc>
  <rcc rId="4478" sId="1" numFmtId="34">
    <oc r="D383">
      <v>1022422.6</v>
    </oc>
    <nc r="D383">
      <v>1942940.95</v>
    </nc>
  </rcc>
  <rcc rId="4479" sId="1" numFmtId="34">
    <oc r="D420">
      <v>275755.99</v>
    </oc>
    <nc r="D420">
      <v>300755.99</v>
    </nc>
  </rcc>
  <rcc rId="4480" sId="1" numFmtId="34">
    <oc r="D438">
      <v>320925.05</v>
    </oc>
    <nc r="D438">
      <v>345925.05</v>
    </nc>
  </rcc>
  <rcc rId="4481" sId="1" numFmtId="34">
    <oc r="D446">
      <v>1158278</v>
    </oc>
    <nc r="D446">
      <v>1402864.5</v>
    </nc>
  </rcc>
  <rcc rId="4482" sId="1" numFmtId="34">
    <oc r="E450">
      <v>0</v>
    </oc>
    <nc r="E450">
      <v>772411</v>
    </nc>
  </rcc>
  <rcc rId="4483" sId="1" numFmtId="34">
    <oc r="D480">
      <v>153035</v>
    </oc>
    <nc r="D480">
      <v>97534.510000000009</v>
    </nc>
  </rcc>
  <rcc rId="4484" sId="1" numFmtId="34">
    <oc r="D513">
      <v>177125</v>
    </oc>
    <nc r="D513">
      <v>222125</v>
    </nc>
  </rcc>
  <rcc rId="4485" sId="1" numFmtId="34">
    <oc r="D540">
      <v>0</v>
    </oc>
    <nc r="D540">
      <v>750000</v>
    </nc>
  </rcc>
  <rcc rId="4486" sId="1" numFmtId="34">
    <oc r="D553">
      <v>70000</v>
    </oc>
    <nc r="D553">
      <v>275000</v>
    </nc>
  </rcc>
  <rcc rId="4487" sId="1" numFmtId="34">
    <oc r="D556">
      <v>500000</v>
    </oc>
    <nc r="D556">
      <v>369155.92</v>
    </nc>
  </rcc>
  <rcc rId="4488" sId="1" numFmtId="34">
    <oc r="D561">
      <f>3516000-253536</f>
    </oc>
    <nc r="D561">
      <v>2051966</v>
    </nc>
  </rcc>
  <rcc rId="4489" sId="1" numFmtId="34">
    <oc r="E561">
      <v>1300000</v>
    </oc>
    <nc r="E561">
      <v>355485.97</v>
    </nc>
  </rcc>
  <rcc rId="4490" sId="1" numFmtId="34">
    <oc r="E560">
      <v>1300000</v>
    </oc>
    <nc r="E560">
      <f>E561</f>
    </nc>
  </rcc>
  <rcc rId="4491" sId="1" odxf="1" dxf="1" numFmtId="34">
    <oc r="D569">
      <v>0</v>
    </oc>
    <nc r="D569">
      <v>7287280</v>
    </nc>
    <odxf>
      <border outline="0">
        <left/>
      </border>
    </odxf>
    <ndxf>
      <border outline="0">
        <left style="thin">
          <color indexed="64"/>
        </left>
      </border>
    </ndxf>
  </rcc>
  <rcc rId="4492" sId="1" numFmtId="34">
    <oc r="D571">
      <v>7287280</v>
    </oc>
    <nc r="D571">
      <v>0</v>
    </nc>
  </rcc>
  <rcc rId="4493" sId="1" numFmtId="34">
    <oc r="D591">
      <v>9000000</v>
    </oc>
    <nc r="D591">
      <v>7600000</v>
    </nc>
  </rcc>
  <rcc rId="4494" sId="1" numFmtId="34">
    <oc r="D618">
      <v>19791114.27</v>
    </oc>
    <nc r="D618">
      <v>16244589.949999999</v>
    </nc>
  </rcc>
  <rcc rId="4495" sId="1" numFmtId="34">
    <oc r="D640">
      <v>1937163.6</v>
    </oc>
    <nc r="D640">
      <v>994070.79</v>
    </nc>
  </rcc>
  <rcc rId="4496" sId="1" numFmtId="34">
    <oc r="D641">
      <v>585023.41</v>
    </oc>
    <nc r="D641">
      <v>300209.38000000006</v>
    </nc>
  </rcc>
  <rcc rId="4497" sId="1" numFmtId="34">
    <oc r="D646">
      <v>3523917.93</v>
    </oc>
    <nc r="D646">
      <v>3699216.81</v>
    </nc>
  </rcc>
  <rcc rId="4498" sId="1" numFmtId="34">
    <oc r="D649">
      <v>1064223.21</v>
    </oc>
    <nc r="D649">
      <v>1117163.47</v>
    </nc>
  </rcc>
  <rcc rId="4499" sId="1" numFmtId="34">
    <oc r="D706">
      <f>65587443.85+19854019.55+9610478.32</f>
    </oc>
    <nc r="D706">
      <v>95677615.829999998</v>
    </nc>
  </rcc>
  <rcc rId="4500" sId="1" numFmtId="34">
    <oc r="D708">
      <f>19807408.16+5995913.89+2902364.36</f>
    </oc>
    <nc r="D708">
      <v>28894640.000000004</v>
    </nc>
  </rcc>
  <rcc rId="4501" sId="1" numFmtId="34">
    <oc r="D715">
      <f>107973.65+4500</f>
    </oc>
    <nc r="D715">
      <v>41482.039999999994</v>
    </nc>
  </rcc>
  <rcc rId="4502" sId="1" numFmtId="34">
    <oc r="D711">
      <f>5905135.47+1916100+411000+150000</f>
    </oc>
    <nc r="D711">
      <v>8457235.4700000007</v>
    </nc>
  </rcc>
  <rcc rId="4503" sId="1">
    <oc r="D707">
      <f>1196994.24+376200+144590.04</f>
    </oc>
    <nc r="D707">
      <f>1196994.24+376200+144590.04-4000</f>
    </nc>
  </rcc>
  <rcc rId="4504" sId="1" numFmtId="34">
    <oc r="D724">
      <v>469756.4</v>
    </oc>
    <nc r="D724">
      <v>532706.79</v>
    </nc>
  </rcc>
  <rcc rId="4505" sId="1" numFmtId="34">
    <oc r="D729">
      <v>280000</v>
    </oc>
    <nc r="D729">
      <v>460000</v>
    </nc>
  </rcc>
  <rcc rId="4506" sId="1" numFmtId="34">
    <oc r="D721">
      <v>165237.28</v>
    </oc>
    <nc r="D721">
      <v>6126197.3700000001</v>
    </nc>
  </rcc>
  <rcc rId="4507" sId="1" numFmtId="34">
    <oc r="D727">
      <f>338824</f>
    </oc>
    <nc r="D727">
      <v>472574</v>
    </nc>
  </rcc>
  <rcc rId="4508" sId="1" numFmtId="34">
    <oc r="D744">
      <v>700000</v>
    </oc>
    <nc r="D744">
      <v>440000</v>
    </nc>
  </rcc>
  <rcc rId="4509" sId="1" numFmtId="34">
    <oc r="D748">
      <v>421300</v>
    </oc>
    <nc r="D748">
      <v>681300</v>
    </nc>
  </rcc>
  <rcc rId="4510" sId="1" numFmtId="34">
    <oc r="D749">
      <v>1748744</v>
    </oc>
    <nc r="D749">
      <v>2414785</v>
    </nc>
  </rcc>
  <rcc rId="4511" sId="1" numFmtId="34">
    <oc r="D782">
      <f>1341897+730000</f>
    </oc>
    <nc r="D782">
      <v>2874890.87</v>
    </nc>
  </rcc>
  <rrc rId="4512" sId="1" ref="A784:XFD784" action="insertRow"/>
  <rrc rId="4513" sId="1" ref="A784:XFD784" action="insertRow"/>
  <rrc rId="4514" sId="1" ref="A784:XFD784" action="insertRow"/>
  <rcc rId="4515" sId="1" odxf="1" dxf="1">
    <nc r="A784" t="inlineStr">
      <is>
        <t>Капитальные вложения в объекты государственной (муниципальной) собственности</t>
      </is>
    </nc>
    <odxf>
      <fill>
        <patternFill>
          <bgColor theme="0"/>
        </patternFill>
      </fill>
    </odxf>
    <ndxf>
      <fill>
        <patternFill>
          <bgColor theme="5" tint="0.39997558519241921"/>
        </patternFill>
      </fill>
    </ndxf>
  </rcc>
  <rcc rId="4516" sId="1" odxf="1" dxf="1">
    <nc r="A785" t="inlineStr">
      <is>
        <t>Бюджетные инвестиции</t>
      </is>
    </nc>
    <odxf>
      <fill>
        <patternFill>
          <bgColor theme="0"/>
        </patternFill>
      </fill>
    </odxf>
    <ndxf>
      <fill>
        <patternFill>
          <bgColor theme="5" tint="0.39997558519241921"/>
        </patternFill>
      </fill>
    </ndxf>
  </rcc>
  <rcc rId="4517" sId="1" odxf="1" dxf="1">
    <nc r="A786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  <odxf>
      <fill>
        <patternFill>
          <bgColor theme="0"/>
        </patternFill>
      </fill>
    </odxf>
    <ndxf>
      <fill>
        <patternFill>
          <bgColor theme="5" tint="0.39997558519241921"/>
        </patternFill>
      </fill>
    </ndxf>
  </rcc>
  <rcc rId="4518" sId="1" quotePrefix="1">
    <nc r="C784" t="inlineStr">
      <is>
        <t>400</t>
      </is>
    </nc>
  </rcc>
  <rcc rId="4519" sId="1" quotePrefix="1">
    <nc r="C785" t="inlineStr">
      <is>
        <t>410</t>
      </is>
    </nc>
  </rcc>
  <rcc rId="4520" sId="1" quotePrefix="1">
    <nc r="C786" t="inlineStr">
      <is>
        <t>412</t>
      </is>
    </nc>
  </rcc>
  <rcc rId="4521" sId="1" numFmtId="34">
    <nc r="D786">
      <v>235229.64</v>
    </nc>
  </rcc>
  <rcc rId="4522" sId="1" numFmtId="34">
    <nc r="D784">
      <f>D785</f>
    </nc>
  </rcc>
  <rcc rId="4523" sId="1" numFmtId="34">
    <nc r="D785">
      <f>D786</f>
    </nc>
  </rcc>
  <rcc rId="4524" sId="1">
    <nc r="E784">
      <f>E785</f>
    </nc>
  </rcc>
  <rcc rId="4525" sId="1">
    <nc r="F784">
      <f>F785</f>
    </nc>
  </rcc>
  <rcc rId="4526" sId="1">
    <nc r="E785">
      <f>E786</f>
    </nc>
  </rcc>
  <rcc rId="4527" sId="1">
    <nc r="F785">
      <f>F786</f>
    </nc>
  </rcc>
  <rcc rId="4528" sId="1" numFmtId="34">
    <nc r="E786">
      <v>0</v>
    </nc>
  </rcc>
  <rcc rId="4529" sId="1" numFmtId="34">
    <nc r="F786">
      <v>0</v>
    </nc>
  </rcc>
  <rcc rId="4530" sId="1">
    <oc r="D779">
      <f>D780+D787</f>
    </oc>
    <nc r="D779">
      <f>D780+D787+D784</f>
    </nc>
  </rcc>
  <rcc rId="4531" sId="1">
    <oc r="E779">
      <f>E780+E787</f>
    </oc>
    <nc r="E779">
      <f>E780+E787+E784</f>
    </nc>
  </rcc>
  <rcc rId="4532" sId="1">
    <oc r="F779">
      <f>F780+F787</f>
    </oc>
    <nc r="F779">
      <f>F780+F787+F784</f>
    </nc>
  </rcc>
  <rcc rId="4533" sId="1" numFmtId="34">
    <oc r="D788">
      <v>20000</v>
    </oc>
    <nc r="D788">
      <v>72000</v>
    </nc>
  </rcc>
  <rcc rId="4534" sId="1" numFmtId="34">
    <oc r="D797">
      <v>655000</v>
    </oc>
    <nc r="D797">
      <v>0</v>
    </nc>
  </rcc>
  <rcc rId="4535" sId="1">
    <nc r="D801">
      <f>45000+655000</f>
    </nc>
  </rcc>
  <rcc rId="4536" sId="1" numFmtId="34">
    <oc r="D808">
      <v>566700</v>
    </oc>
    <nc r="D808">
      <v>0</v>
    </nc>
  </rcc>
  <rcc rId="4537" sId="1" numFmtId="34">
    <oc r="E808">
      <v>2340000</v>
    </oc>
    <nc r="E808">
      <v>0</v>
    </nc>
  </rcc>
  <rcc rId="4538" sId="1" numFmtId="34">
    <oc r="F808">
      <v>2340000</v>
    </oc>
    <nc r="F808">
      <v>0</v>
    </nc>
  </rcc>
  <rrc rId="4539" sId="1" ref="A806:XFD808" action="insertRow"/>
  <rfmt sheetId="1" sqref="A806" start="0" length="0">
    <dxf>
      <border outline="0">
        <top style="thin">
          <color indexed="64"/>
        </top>
      </border>
    </dxf>
  </rfmt>
  <rcc rId="4540" sId="1">
    <nc r="B806" t="inlineStr">
      <is>
        <t>59 0 00 83691</t>
      </is>
    </nc>
  </rcc>
  <rfmt sheetId="1" sqref="C806" start="0" length="0">
    <dxf>
      <border outline="0">
        <top style="thin">
          <color indexed="64"/>
        </top>
      </border>
    </dxf>
  </rfmt>
  <rcc rId="4541" sId="1">
    <nc r="D806">
      <f>D807</f>
    </nc>
  </rcc>
  <rcc rId="4542" sId="1">
    <nc r="E806">
      <f>E807</f>
    </nc>
  </rcc>
  <rcc rId="4543" sId="1">
    <nc r="F806">
      <f>F807</f>
    </nc>
  </rcc>
  <rfmt sheetId="1" sqref="A807" start="0" length="0">
    <dxf>
      <border outline="0">
        <top style="thin">
          <color indexed="64"/>
        </top>
      </border>
    </dxf>
  </rfmt>
  <rcc rId="4544" sId="1">
    <nc r="B807" t="inlineStr">
      <is>
        <t>59 0 00 83691</t>
      </is>
    </nc>
  </rcc>
  <rfmt sheetId="1" sqref="C807" start="0" length="0">
    <dxf>
      <border outline="0">
        <top style="thin">
          <color indexed="64"/>
        </top>
      </border>
    </dxf>
  </rfmt>
  <rcc rId="4545" sId="1">
    <nc r="D807">
      <f>D808</f>
    </nc>
  </rcc>
  <rcc rId="4546" sId="1">
    <nc r="E807">
      <f>E808</f>
    </nc>
  </rcc>
  <rcc rId="4547" sId="1">
    <nc r="F807">
      <f>F808</f>
    </nc>
  </rcc>
  <rcc rId="4548" sId="1">
    <nc r="B808" t="inlineStr">
      <is>
        <t>59 0 00 83691</t>
      </is>
    </nc>
  </rcc>
  <rfmt sheetId="1" sqref="C808" start="0" length="0">
    <dxf/>
  </rfmt>
  <rcc rId="4549" sId="1" numFmtId="34">
    <nc r="E808">
      <v>0</v>
    </nc>
  </rcc>
  <rcc rId="4550" sId="1" numFmtId="34">
    <nc r="F808">
      <v>0</v>
    </nc>
  </rcc>
  <rcc rId="4551" sId="1">
    <nc r="A806" t="inlineStr">
      <is>
        <t>Капитальные вложения в объекты государственной (муниципальной) собственности</t>
      </is>
    </nc>
  </rcc>
  <rcc rId="4552" sId="1">
    <nc r="A807" t="inlineStr">
      <is>
        <t>Бюджетные инвестиции</t>
      </is>
    </nc>
  </rcc>
  <rcc rId="4553" sId="1">
    <nc r="A808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4554" sId="1">
    <nc r="C806">
      <v>400</v>
    </nc>
  </rcc>
  <rcc rId="4555" sId="1">
    <nc r="C807">
      <v>410</v>
    </nc>
  </rcc>
  <rcc rId="4556" sId="1">
    <nc r="C808">
      <v>414</v>
    </nc>
  </rcc>
  <rcc rId="4557" sId="1" numFmtId="34">
    <nc r="D808">
      <v>66344.570000000007</v>
    </nc>
  </rcc>
  <rcc rId="4558" sId="1">
    <oc r="D802">
      <f>D810+D803+D812+D816+D820</f>
    </oc>
    <nc r="D802">
      <f>D810+D803+D812+D816+D820+D806</f>
    </nc>
  </rcc>
  <rcc rId="4559" sId="1" numFmtId="34">
    <nc r="D823">
      <v>510900</v>
    </nc>
  </rcc>
  <rcc rId="4560" sId="1" numFmtId="34">
    <nc r="E823">
      <v>2340000</v>
    </nc>
  </rcc>
  <rcc rId="4561" sId="1" numFmtId="34">
    <nc r="F823">
      <v>2340000</v>
    </nc>
  </rcc>
  <rcc rId="4562" sId="1" numFmtId="34">
    <oc r="D765">
      <v>8000000</v>
    </oc>
    <nc r="D765">
      <v>8700000</v>
    </nc>
  </rcc>
  <rcc rId="4563" sId="1">
    <nc r="B784" t="inlineStr">
      <is>
        <t>59 0 00 83650</t>
      </is>
    </nc>
  </rcc>
  <rcc rId="4564" sId="1">
    <nc r="B785" t="inlineStr">
      <is>
        <t>59 0 00 83650</t>
      </is>
    </nc>
  </rcc>
  <rcc rId="4565" sId="1">
    <nc r="B786" t="inlineStr">
      <is>
        <t>59 0 00 83650</t>
      </is>
    </nc>
  </rcc>
  <rcc rId="4566" sId="1" numFmtId="34">
    <oc r="D783">
      <v>2005191</v>
    </oc>
    <nc r="D783">
      <v>2120945</v>
    </nc>
  </rcc>
  <rcc rId="4567" sId="1" numFmtId="34">
    <oc r="D770">
      <v>2883700</v>
    </oc>
    <nc r="D770">
      <f>2883700+70000</f>
    </nc>
  </rcc>
  <rcc rId="4568" sId="1" numFmtId="34">
    <nc r="D832">
      <v>1000</v>
    </nc>
  </rcc>
  <rcc rId="4569" sId="1" numFmtId="34">
    <nc r="D833">
      <v>46684.04</v>
    </nc>
  </rcc>
  <rrc rId="4570" sId="1" ref="A837:XFD838" action="insertRow"/>
  <rcc rId="4571" sId="1" odxf="1" dxf="1">
    <nc r="A837" t="inlineStr">
      <is>
        <t>Иные бюджетные ассигнования</t>
      </is>
    </nc>
    <odxf>
      <border outline="0">
        <top style="thin">
          <color indexed="64"/>
        </top>
        <bottom/>
      </border>
    </odxf>
    <ndxf>
      <border outline="0">
        <top/>
        <bottom style="thin">
          <color indexed="64"/>
        </bottom>
      </border>
    </ndxf>
  </rcc>
  <rcc rId="4572" sId="1" odxf="1" dxf="1">
    <nc r="A838" t="inlineStr">
      <is>
        <t>Уплата налогов, сборов и иных платежей</t>
      </is>
    </nc>
    <odxf>
      <fill>
        <patternFill>
          <bgColor theme="0"/>
        </patternFill>
      </fill>
      <border outline="0">
        <bottom/>
      </border>
    </odxf>
    <ndxf>
      <fill>
        <patternFill>
          <bgColor theme="5" tint="0.59999389629810485"/>
        </patternFill>
      </fill>
      <border outline="0">
        <bottom style="thin">
          <color indexed="64"/>
        </bottom>
      </border>
    </ndxf>
  </rcc>
  <rcc rId="4573" sId="1">
    <nc r="B837" t="inlineStr">
      <is>
        <t>60 0 00 80020</t>
      </is>
    </nc>
  </rcc>
  <rcc rId="4574" sId="1">
    <nc r="B838" t="inlineStr">
      <is>
        <t>60 0 00 80020</t>
      </is>
    </nc>
  </rcc>
  <rrc rId="4575" sId="1" ref="A837:XFD837" action="insertRow"/>
  <rrc rId="4576" sId="1" ref="A837:XFD837" action="deleteRow">
    <rfmt sheetId="1" xfDxf="1" sqref="A837:XFD837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fmt sheetId="1" sqref="A837" start="0" length="0">
      <dxf>
        <fill>
          <patternFill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837" start="0" length="0">
      <dxf>
        <fill>
          <patternFill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dxf>
    </rfmt>
    <rfmt sheetId="1" sqref="C837" start="0" length="0">
      <dxf>
        <fill>
          <patternFill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837" start="0" length="0">
      <dxf>
        <numFmt numFmtId="164" formatCode="_-* #,##0.00_р_._-;\-* #,##0.00_р_._-;_-* &quot;-&quot;??_р_._-;_-@_-"/>
        <fill>
          <patternFill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837" start="0" length="0">
      <dxf>
        <numFmt numFmtId="164" formatCode="_-* #,##0.00_р_._-;\-* #,##0.00_р_._-;_-* &quot;-&quot;??_р_._-;_-@_-"/>
        <fill>
          <patternFill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37" start="0" length="0">
      <dxf>
        <numFmt numFmtId="164" formatCode="_-* #,##0.00_р_._-;\-* #,##0.00_р_._-;_-* &quot;-&quot;??_р_._-;_-@_-"/>
        <fill>
          <patternFill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77" sId="1" odxf="1" dxf="1">
    <nc r="C837" t="inlineStr">
      <is>
        <t>800</t>
      </is>
    </nc>
    <odxf>
      <numFmt numFmtId="0" formatCode="General"/>
      <border outline="0">
        <top/>
      </border>
    </odxf>
    <ndxf>
      <numFmt numFmtId="30" formatCode="@"/>
      <border outline="0">
        <top style="thin">
          <color indexed="64"/>
        </top>
      </border>
    </ndxf>
  </rcc>
  <rcc rId="4578" sId="1" odxf="1" dxf="1">
    <nc r="C838" t="inlineStr">
      <is>
        <t>850</t>
      </is>
    </nc>
    <odxf>
      <numFmt numFmtId="0" formatCode="General"/>
      <fill>
        <patternFill>
          <bgColor theme="0"/>
        </patternFill>
      </fill>
      <border outline="0">
        <right style="thin">
          <color indexed="64"/>
        </right>
        <top/>
      </border>
    </odxf>
    <ndxf>
      <numFmt numFmtId="30" formatCode="@"/>
      <fill>
        <patternFill>
          <bgColor theme="5" tint="0.59999389629810485"/>
        </patternFill>
      </fill>
      <border outline="0">
        <right/>
        <top style="thin">
          <color indexed="64"/>
        </top>
      </border>
    </ndxf>
  </rcc>
  <rcc rId="4579" sId="1" numFmtId="34">
    <nc r="D838">
      <v>180000</v>
    </nc>
  </rcc>
  <rrc rId="4580" sId="1" ref="A837:XFD837" action="deleteRow">
    <rfmt sheetId="1" xfDxf="1" sqref="A837:XFD837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cc rId="0" sId="1" dxf="1">
      <nc r="A837" t="inlineStr">
        <is>
          <t>Иные бюджетные ассигнования</t>
        </is>
      </nc>
      <ndxf>
        <fill>
          <patternFill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837" t="inlineStr">
        <is>
          <t>60 0 00 80020</t>
        </is>
      </nc>
      <ndxf>
        <fill>
          <patternFill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837" t="inlineStr">
        <is>
          <t>800</t>
        </is>
      </nc>
      <ndxf>
        <numFmt numFmtId="30" formatCode="@"/>
        <fill>
          <patternFill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837" start="0" length="0">
      <dxf>
        <numFmt numFmtId="164" formatCode="_-* #,##0.00_р_._-;\-* #,##0.00_р_._-;_-* &quot;-&quot;??_р_._-;_-@_-"/>
        <fill>
          <patternFill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837" start="0" length="0">
      <dxf>
        <numFmt numFmtId="164" formatCode="_-* #,##0.00_р_._-;\-* #,##0.00_р_._-;_-* &quot;-&quot;??_р_._-;_-@_-"/>
        <fill>
          <patternFill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37" start="0" length="0">
      <dxf>
        <numFmt numFmtId="164" formatCode="_-* #,##0.00_р_._-;\-* #,##0.00_р_._-;_-* &quot;-&quot;??_р_._-;_-@_-"/>
        <fill>
          <patternFill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81" sId="1">
    <oc r="D834">
      <f>D835</f>
    </oc>
    <nc r="D834">
      <f>D835+D837</f>
    </nc>
  </rcc>
  <rcc rId="4582" sId="1">
    <oc r="E834">
      <f>E835</f>
    </oc>
    <nc r="E834">
      <f>E835+E837</f>
    </nc>
  </rcc>
  <rcc rId="4583" sId="1">
    <oc r="F834">
      <f>F835</f>
    </oc>
    <nc r="F834">
      <f>F835+F837</f>
    </nc>
  </rcc>
  <rcc rId="4584" sId="1" numFmtId="34">
    <oc r="D836">
      <f>292246.25</f>
    </oc>
    <nc r="D836">
      <v>358553.82</v>
    </nc>
  </rcc>
  <rcc rId="4585" sId="1" numFmtId="34">
    <oc r="D847">
      <v>3209339.93</v>
    </oc>
    <nc r="D847">
      <v>0</v>
    </nc>
  </rcc>
  <rcc rId="4586" sId="1" numFmtId="34">
    <oc r="D851">
      <v>4427614.2</v>
    </oc>
    <nc r="D851">
      <v>7636954.1300000008</v>
    </nc>
  </rcc>
  <rfmt sheetId="1" sqref="F885" start="0" length="0">
    <dxf>
      <border outline="0">
        <left style="thin">
          <color indexed="64"/>
        </left>
        <top style="thin">
          <color indexed="64"/>
        </top>
      </border>
    </dxf>
  </rfmt>
  <rcc rId="4587" sId="1" numFmtId="34">
    <oc r="D901">
      <v>100000</v>
    </oc>
    <nc r="D901">
      <v>0</v>
    </nc>
  </rcc>
  <rcc rId="4588" sId="1" numFmtId="34">
    <oc r="D898">
      <v>481912</v>
    </oc>
    <nc r="D898">
      <v>581912</v>
    </nc>
  </rcc>
  <rcc rId="4589" sId="1" numFmtId="34">
    <oc r="D928">
      <v>663833.82999999996</v>
    </oc>
    <nc r="D928">
      <v>1398.2799999999115</v>
    </nc>
  </rcc>
  <rcc rId="4590" sId="1" numFmtId="34">
    <oc r="D919">
      <v>12612842.84</v>
    </oc>
    <nc r="D919">
      <v>26567.389999998733</v>
    </nc>
  </rcc>
  <rcc rId="4591" sId="1" numFmtId="34">
    <nc r="D914">
      <v>11409500</v>
    </nc>
  </rcc>
  <rcc rId="4592" sId="1" numFmtId="34">
    <nc r="D923">
      <v>600500</v>
    </nc>
  </rcc>
  <rfmt sheetId="1" sqref="D917" start="0" length="0">
    <dxf>
      <numFmt numFmtId="167" formatCode="_(* #,##0.00_);_(* \(#,##0.00\);_(* &quot;-&quot;??_);_(@_)"/>
      <alignment horizontal="center" readingOrder="0"/>
      <border outline="0">
        <left/>
      </border>
    </dxf>
  </rfmt>
  <rcc rId="4593" sId="1" numFmtId="34">
    <nc r="D917">
      <v>1176775.45</v>
    </nc>
  </rcc>
  <rcc rId="4594" sId="1" numFmtId="34">
    <nc r="D926">
      <v>61935.55</v>
    </nc>
  </rcc>
  <rcc rId="4595" sId="1" numFmtId="34">
    <nc r="D933">
      <v>495550</v>
    </nc>
  </rcc>
  <rcc rId="4596" sId="1">
    <oc r="D629">
      <f>D630+D635+D653+D670+D716+D730+D740+D752+D757+D838+D876+D889+D902+D910+D828</f>
    </oc>
    <nc r="D629">
      <f>D630+D635+D653+D670+D716+D730+D740+D752+D757+D838+D876+D889+D902+D910+D828+D929</f>
    </nc>
  </rcc>
  <rcc rId="4597" sId="1">
    <oc r="E629">
      <f>E630+E635+E653+E670+E716+E730+E740+E752+E757+E838+E876+E889+E902+E910+E828</f>
    </oc>
    <nc r="E629">
      <f>E630+E635+E653+E670+E716+E730+E740+E752+E757+E838+E876+E889+E902+E910+E828+E929</f>
    </nc>
  </rcc>
  <rcc rId="4598" sId="1">
    <oc r="F629">
      <f>F630+F635+F653+F670+F716+F730+F740+F752+F757+F838+F876+F889+F902+F910+F828</f>
    </oc>
    <nc r="F629">
      <f>F630+F635+F653+F670+F716+F730+F740+F752+F757+F838+F876+F889+F902+F910+F828+F929</f>
    </nc>
  </rcc>
  <rcv guid="{9A752CC5-36AC-48BE-BF4B-1A38C4015906}" action="delete"/>
  <rdn rId="0" localSheetId="1" customView="1" name="Z_9A752CC5_36AC_48BE_BF4B_1A38C4015906_.wvu.Rows" hidden="1" oldHidden="1">
    <formula>'программы '!$75:$78,'программы '!$162:$165,'программы '!$327:$330,'программы '!$348:$350,'программы '!$528:$531,'программы '!$542:$545,'программы '!$579:$580,'программы '!$794:$797,'программы '!$840:$843</formula>
  </rdn>
  <rdn rId="0" localSheetId="1" customView="1" name="Z_9A752CC5_36AC_48BE_BF4B_1A38C4015906_.wvu.FilterData" hidden="1" oldHidden="1">
    <formula>'программы '!$C$1:$C$945</formula>
    <oldFormula>'программы '!$A$1:$A$950</oldFormula>
  </rdn>
  <rcv guid="{9A752CC5-36AC-48BE-BF4B-1A38C4015906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4608" sId="1" numFmtId="34">
    <nc r="D378">
      <v>3591627.58</v>
    </nc>
  </rcc>
  <rcc rId="4609" sId="1" numFmtId="34">
    <oc r="D370">
      <v>3591627.58</v>
    </oc>
    <nc r="D370">
      <v>0</v>
    </nc>
  </rcc>
  <rcv guid="{9A752CC5-36AC-48BE-BF4B-1A38C4015906}" action="delete"/>
  <rdn rId="0" localSheetId="1" customView="1" name="Z_9A752CC5_36AC_48BE_BF4B_1A38C4015906_.wvu.PrintArea" hidden="1" oldHidden="1">
    <formula>'программы '!$A$1:$F$937</formula>
    <oldFormula>'программы '!$A$1:$F$937</oldFormula>
  </rdn>
  <rdn rId="0" localSheetId="1" customView="1" name="Z_9A752CC5_36AC_48BE_BF4B_1A38C4015906_.wvu.Rows" hidden="1" oldHidden="1">
    <formula>'программы '!$75:$78,'программы '!$162:$165,'программы '!$327:$330,'программы '!$348:$350,'программы '!$528:$531,'программы '!$542:$545,'программы '!$579:$580,'программы '!$794:$797,'программы '!$840:$843</formula>
    <oldFormula>'программы '!$75:$78,'программы '!$162:$165,'программы '!$327:$330,'программы '!$348:$350,'программы '!$528:$531,'программы '!$542:$545,'программы '!$579:$580,'программы '!$794:$797,'программы '!$840:$843</oldFormula>
  </rdn>
  <rdn rId="0" localSheetId="1" customView="1" name="Z_9A752CC5_36AC_48BE_BF4B_1A38C4015906_.wvu.FilterData" hidden="1" oldHidden="1">
    <formula>'программы '!$C$1:$C$945</formula>
    <oldFormula>'программы '!$C$1:$C$945</oldFormula>
  </rdn>
  <rcv guid="{9A752CC5-36AC-48BE-BF4B-1A38C4015906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2812" sId="1" numFmtId="34">
    <oc r="D88">
      <v>3387420</v>
    </oc>
    <nc r="D88">
      <f>3387420+538300</f>
    </nc>
  </rcc>
  <rcc rId="2813" sId="1">
    <oc r="D506">
      <f>14735000+7094414.27</f>
    </oc>
    <nc r="D506">
      <f>14735000+7094414.27-538300</f>
    </nc>
  </rcc>
  <rfmt sheetId="1" sqref="D506">
    <dxf>
      <fill>
        <patternFill patternType="solid">
          <bgColor rgb="FFFFFF00"/>
        </patternFill>
      </fill>
    </dxf>
  </rfmt>
  <rfmt sheetId="1" sqref="D88">
    <dxf>
      <fill>
        <patternFill patternType="solid">
          <bgColor rgb="FFFFFF00"/>
        </patternFill>
      </fill>
    </dxf>
  </rfmt>
  <rcv guid="{9A752CC5-36AC-48BE-BF4B-1A38C4015906}" action="delete"/>
  <rdn rId="0" localSheetId="1" customView="1" name="Z_9A752CC5_36AC_48BE_BF4B_1A38C4015906_.wvu.FilterData" hidden="1" oldHidden="1">
    <formula>'программы '!$A$1:$A$770</formula>
    <oldFormula>'программы '!$A$1:$A$770</oldFormula>
  </rdn>
  <rcv guid="{9A752CC5-36AC-48BE-BF4B-1A38C4015906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rc rId="2570" sId="1" ref="A726:XFD728" action="insertRow"/>
  <rrc rId="2571" sId="1" ref="A726:XFD726" action="insertRow"/>
  <rcc rId="2572" sId="1" odxf="1" dxf="1">
    <nc r="A726" t="inlineStr">
      <is>
        <t>Реализация инициативных проектов в рамках регионального проекта "Комфортное Поморье"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  <border outline="0">
        <left/>
        <right/>
        <bottom/>
      </border>
    </odxf>
    <ndxf>
      <font>
        <i/>
        <name val="Times New Roman"/>
        <scheme val="none"/>
      </font>
      <fill>
        <patternFill patternType="solid">
          <bgColor indexed="51"/>
        </patternFill>
      </fill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573" sId="1" odxf="1" s="1" dxf="1">
    <nc r="A727" t="inlineStr">
      <is>
        <t>Развитие инициативных проектов в рамках регионального проекта "Комфортное Поморье"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justify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</odxf>
    <ndxf>
      <font>
        <i/>
        <sz val="10"/>
        <color auto="1"/>
        <name val="Times New Roman"/>
        <scheme val="none"/>
      </font>
      <fill>
        <patternFill patternType="solid">
          <bgColor indexed="51"/>
        </patternFill>
      </fill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574" sId="1" odxf="1" dxf="1">
    <nc r="A728" t="inlineStr">
      <is>
        <t>Иные бюджетные ассигнования</t>
      </is>
    </nc>
    <odxf>
      <fill>
        <patternFill patternType="none">
          <bgColor indexed="65"/>
        </patternFill>
      </fill>
      <border outline="0">
        <left/>
        <right/>
        <bottom/>
      </border>
    </odxf>
    <ndxf>
      <fill>
        <patternFill patternType="solid">
          <bgColor indexed="51"/>
        </patternFill>
      </fill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575" sId="1" odxf="1" dxf="1">
    <nc r="A729" t="inlineStr">
      <is>
        <t>Резервные средства</t>
      </is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indexed="51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6" sId="1">
    <nc r="B726" t="inlineStr">
      <is>
        <t>67 0 00 00000</t>
      </is>
    </nc>
  </rcc>
  <rcc rId="2577" sId="1">
    <nc r="B727" t="inlineStr">
      <is>
        <t>67 0 00 S8890</t>
      </is>
    </nc>
  </rcc>
  <rcc rId="2578" sId="1">
    <nc r="B728" t="inlineStr">
      <is>
        <t>67 0 00 S8890</t>
      </is>
    </nc>
  </rcc>
  <rcc rId="2579" sId="1" numFmtId="30">
    <nc r="C728">
      <v>800</v>
    </nc>
  </rcc>
  <rcc rId="2580" sId="1">
    <nc r="B729" t="inlineStr">
      <is>
        <t>67 0 00 S8890</t>
      </is>
    </nc>
  </rcc>
  <rcc rId="2581" sId="1">
    <nc r="C729" t="inlineStr">
      <is>
        <t>870</t>
      </is>
    </nc>
  </rcc>
  <rcc rId="2582" sId="1" numFmtId="34">
    <nc r="D729">
      <v>13276676.67</v>
    </nc>
  </rcc>
  <rcc rId="2583" sId="1">
    <nc r="D726">
      <f>D727</f>
    </nc>
  </rcc>
  <rcc rId="2584" sId="1">
    <nc r="D727">
      <f>D728</f>
    </nc>
  </rcc>
  <rcc rId="2585" sId="1">
    <nc r="D728">
      <f>D729</f>
    </nc>
  </rcc>
  <rcc rId="2586" sId="1">
    <nc r="E726">
      <f>E727</f>
    </nc>
  </rcc>
  <rcc rId="2587" sId="1">
    <nc r="F726">
      <f>F727</f>
    </nc>
  </rcc>
  <rcc rId="2588" sId="1">
    <nc r="E727">
      <f>E728</f>
    </nc>
  </rcc>
  <rcc rId="2589" sId="1">
    <nc r="F727">
      <f>F728</f>
    </nc>
  </rcc>
  <rcc rId="2590" sId="1">
    <nc r="E728">
      <f>E729</f>
    </nc>
  </rcc>
  <rcc rId="2591" sId="1">
    <nc r="F728">
      <f>F729</f>
    </nc>
  </rcc>
  <rcc rId="2592" sId="1" numFmtId="34">
    <nc r="E729">
      <v>0</v>
    </nc>
  </rcc>
  <rcc rId="2593" sId="1" numFmtId="34">
    <nc r="F729">
      <v>0</v>
    </nc>
  </rcc>
  <rfmt sheetId="1" sqref="A726:A729">
    <dxf>
      <fill>
        <patternFill patternType="none">
          <bgColor auto="1"/>
        </patternFill>
      </fill>
    </dxf>
  </rfmt>
  <rfmt sheetId="1" sqref="F726:F729" start="0" length="0">
    <dxf>
      <border>
        <right style="thin">
          <color indexed="64"/>
        </right>
      </border>
    </dxf>
  </rfmt>
  <rfmt sheetId="1" sqref="A729:F729" start="0" length="0">
    <dxf>
      <border>
        <bottom style="thin">
          <color indexed="64"/>
        </bottom>
      </border>
    </dxf>
  </rfmt>
  <rcc rId="2594" sId="1">
    <oc r="D504">
      <f>D505+D510+D528+D545+D587+D593+D603+D615+D620+D661+D695+D708+D718</f>
    </oc>
    <nc r="D504">
      <f>D505+D510+D528+D545+D587+D593+D603+D615+D620+D661+D695+D708+D718+D726</f>
    </nc>
  </rcc>
  <rcc rId="2595" sId="1">
    <oc r="E504">
      <f>E505+E510+E528+E545+E587+E593+E603+E615+E620+E661+E695+E708+E718</f>
    </oc>
    <nc r="E504">
      <f>E505+E510+E528+E545+E587+E593+E603+E615+E620+E661+E695+E708+E718+E726</f>
    </nc>
  </rcc>
  <rcc rId="2596" sId="1">
    <oc r="F504">
      <f>F505+F510+F528+F545+F587+F593+F603+F615+F620+F661+F695+F708+F718</f>
    </oc>
    <nc r="F504">
      <f>F505+F510+F528+F545+F587+F593+F603+F615+F620+F661+F695+F708+F718+F726</f>
    </nc>
  </rcc>
  <rcv guid="{9A752CC5-36AC-48BE-BF4B-1A38C4015906}" action="delete"/>
  <rdn rId="0" localSheetId="1" customView="1" name="Z_9A752CC5_36AC_48BE_BF4B_1A38C4015906_.wvu.FilterData" hidden="1" oldHidden="1">
    <formula>'программы '!$B$1:$B$741</formula>
    <oldFormula>'программы '!$B$1:$B$741</oldFormula>
  </rdn>
  <rcv guid="{9A752CC5-36AC-48BE-BF4B-1A38C4015906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4613" sId="1" numFmtId="34">
    <oc r="D556">
      <v>369155.92</v>
    </oc>
    <nc r="D556">
      <f>369155.92+275000</f>
    </nc>
  </rcc>
  <rcc rId="4614" sId="1" numFmtId="34">
    <oc r="D553">
      <v>275000</v>
    </oc>
    <nc r="D553">
      <v>0</v>
    </nc>
  </rcc>
  <rcc rId="4615" sId="1" numFmtId="34">
    <oc r="D808">
      <v>66344.570000000007</v>
    </oc>
    <nc r="D808">
      <v>0</v>
    </nc>
  </rcc>
  <rcc rId="4616" sId="1">
    <oc r="D774">
      <f>1300000</f>
    </oc>
    <nc r="D774">
      <f>1300000+66344.57</f>
    </nc>
  </rcc>
  <rcv guid="{9A752CC5-36AC-48BE-BF4B-1A38C4015906}" action="delete"/>
  <rdn rId="0" localSheetId="1" customView="1" name="Z_9A752CC5_36AC_48BE_BF4B_1A38C4015906_.wvu.PrintArea" hidden="1" oldHidden="1">
    <formula>'программы '!$A$1:$F$937</formula>
    <oldFormula>'программы '!$A$1:$F$937</oldFormula>
  </rdn>
  <rdn rId="0" localSheetId="1" customView="1" name="Z_9A752CC5_36AC_48BE_BF4B_1A38C4015906_.wvu.Rows" hidden="1" oldHidden="1">
    <formula>'программы '!$75:$78,'программы '!$162:$165,'программы '!$327:$330,'программы '!$348:$350,'программы '!$528:$531,'программы '!$542:$545,'программы '!$579:$580,'программы '!$794:$797,'программы '!$840:$843</formula>
    <oldFormula>'программы '!$75:$78,'программы '!$162:$165,'программы '!$327:$330,'программы '!$348:$350,'программы '!$528:$531,'программы '!$542:$545,'программы '!$579:$580,'программы '!$794:$797,'программы '!$840:$843</oldFormula>
  </rdn>
  <rdn rId="0" localSheetId="1" customView="1" name="Z_9A752CC5_36AC_48BE_BF4B_1A38C4015906_.wvu.FilterData" hidden="1" oldHidden="1">
    <formula>'программы '!$C$1:$C$945</formula>
    <oldFormula>'программы '!$C$1:$C$945</oldFormula>
  </rdn>
  <rcv guid="{9A752CC5-36AC-48BE-BF4B-1A38C4015906}" action="add"/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40" sId="1" numFmtId="34">
    <oc r="D353">
      <v>674946.39</v>
    </oc>
    <nc r="D353">
      <f>674946.39+27776.16</f>
    </nc>
  </rcc>
  <rfmt sheetId="1" sqref="D353">
    <dxf>
      <fill>
        <patternFill patternType="solid">
          <bgColor rgb="FFFFFF00"/>
        </patternFill>
      </fill>
    </dxf>
  </rfmt>
  <rcc rId="4641" sId="1" numFmtId="34">
    <oc r="D357">
      <v>44632.900000000009</v>
    </oc>
    <nc r="D357">
      <f>44632.9-44503.69</f>
    </nc>
  </rcc>
  <rcv guid="{D9B90A86-BE39-4FED-8226-084809D277F3}" action="delete"/>
  <rdn rId="0" localSheetId="1" customView="1" name="Z_D9B90A86_BE39_4FED_8226_084809D277F3_.wvu.PrintArea" hidden="1" oldHidden="1">
    <formula>'программы '!$A$1:$F$938</formula>
    <oldFormula>'программы '!$A$1:$F$938</oldFormula>
  </rdn>
  <rdn rId="0" localSheetId="1" customView="1" name="Z_D9B90A86_BE39_4FED_8226_084809D277F3_.wvu.FilterData" hidden="1" oldHidden="1">
    <formula>'программы '!$C$1:$C$946</formula>
    <oldFormula>'программы '!$C$1:$C$946</oldFormula>
  </rdn>
  <rcv guid="{D9B90A86-BE39-4FED-8226-084809D277F3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fmt sheetId="1" sqref="A837" start="0" length="0">
    <dxf/>
  </rfmt>
  <rcc rId="5155" sId="1" xfDxf="1" dxf="1">
    <oc r="A837" t="inlineStr">
      <is>
        <t>Расходы по независимой оценке стоимости имущества, для целей выплаты возмещения гражданам за принадлежащие им жилые помещения при изъятии земельных участков, на которых расположены аварийные дома, признанные аварийными, в которых находятся жилые помещения</t>
      </is>
    </oc>
    <nc r="A837" t="inlineStr">
      <is>
        <t>Расходы на проведение независимой оценки стоимости имущества, для целей выплаты возмещения гражданам за принадлежащие им жилые помещения при изъятии земельных участков, на которых расположены аварийные дома, признанные аварийными, в которых находятся жилые помещения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dn rId="0" localSheetId="1" customView="1" name="Z_9A752CC5_36AC_48BE_BF4B_1A38C4015906_.wvu.Rows" hidden="1" oldHidden="1">
    <oldFormula>'программы '!$75:$78,'программы '!$166:$169,'программы '!$338:$341,'программы '!$362:$364,'программы '!$552:$555,'программы '!$566:$569,'программы '!$603:$604,'программы '!$829:$832,'программы '!$879:$882</oldFormula>
  </rdn>
  <rcv guid="{9A752CC5-36AC-48BE-BF4B-1A38C4015906}" action="delete"/>
  <rdn rId="0" localSheetId="1" customView="1" name="Z_9A752CC5_36AC_48BE_BF4B_1A38C4015906_.wvu.PrintArea" hidden="1" oldHidden="1">
    <formula>'программы '!$A$1:$F$987</formula>
    <oldFormula>'программы '!$A$1:$F$987</oldFormula>
  </rdn>
  <rdn rId="0" localSheetId="1" customView="1" name="Z_9A752CC5_36AC_48BE_BF4B_1A38C4015906_.wvu.FilterData" hidden="1" oldHidden="1">
    <formula>'программы '!$B$1:$B$995</formula>
    <oldFormula>'программы '!$C$1:$C$995</oldFormula>
  </rdn>
  <rcv guid="{9A752CC5-36AC-48BE-BF4B-1A38C4015906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57">
    <dxf>
      <fill>
        <patternFill patternType="solid">
          <bgColor rgb="FFFFFF00"/>
        </patternFill>
      </fill>
    </dxf>
  </rfmt>
  <rcc rId="4644" sId="1">
    <oc r="D353">
      <f>674946.39+27776.16</f>
    </oc>
    <nc r="D353">
      <f>674946.39+27776.16-65913.99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rc rId="6744" sId="1" ref="A28:XFD28" action="deleteRow">
    <undo index="3" exp="ref" v="1" dr="F28" r="F19" sId="1"/>
    <undo index="3" exp="ref" v="1" dr="E28" r="E19" sId="1"/>
    <undo index="3" exp="ref" v="1" dr="D28" r="D19" sId="1"/>
    <undo index="0" exp="area" ref3D="1" dr="$A$242:$XFD$246" dn="Z_30E81E54_DD45_4653_9DCD_548F6723F554_.wvu.Rows" sId="1"/>
    <rfmt sheetId="1" xfDxf="1" sqref="A28:XFD28" start="0" length="0">
      <dxf>
        <font>
          <name val="Times New Roman"/>
          <scheme val="none"/>
        </font>
      </dxf>
    </rfmt>
    <rcc rId="0" sId="1" dxf="1">
      <nc r="A28" t="inlineStr">
        <is>
          <t>Зарезервированные средства на дорожную деятельность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" t="inlineStr">
        <is>
          <t>02 0 00 83290</t>
        </is>
      </nc>
      <ndxf>
        <numFmt numFmtId="30" formatCode="@"/>
        <alignment horizontal="center" vertical="center" readingOrder="0"/>
        <border outline="0">
          <bottom style="thin">
            <color indexed="64"/>
          </bottom>
        </border>
      </ndxf>
    </rcc>
    <rfmt sheetId="1" sqref="C28" start="0" length="0">
      <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28">
        <f>D29</f>
      </nc>
      <n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">
        <f>E29</f>
      </nc>
      <n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">
        <f>F29</f>
      </nc>
      <n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" start="0" length="0">
      <dxf>
        <fill>
          <patternFill patternType="solid">
            <bgColor theme="0"/>
          </patternFill>
        </fill>
      </dxf>
    </rfmt>
    <rfmt sheetId="1" sqref="H28" start="0" length="0">
      <dxf>
        <fill>
          <patternFill patternType="solid">
            <bgColor theme="0"/>
          </patternFill>
        </fill>
      </dxf>
    </rfmt>
    <rfmt sheetId="1" sqref="I28" start="0" length="0">
      <dxf>
        <fill>
          <patternFill patternType="solid">
            <bgColor theme="0"/>
          </patternFill>
        </fill>
      </dxf>
    </rfmt>
    <rfmt sheetId="1" sqref="J28" start="0" length="0">
      <dxf>
        <fill>
          <patternFill patternType="solid">
            <bgColor theme="0"/>
          </patternFill>
        </fill>
      </dxf>
    </rfmt>
  </rrc>
  <rrc rId="6745" sId="1" ref="A28:XFD28" action="deleteRow">
    <undo index="0" exp="area" ref3D="1" dr="$A$241:$XFD$245" dn="Z_30E81E54_DD45_4653_9DCD_548F6723F554_.wvu.Rows" sId="1"/>
    <rfmt sheetId="1" xfDxf="1" sqref="A28:XFD28" start="0" length="0">
      <dxf>
        <font>
          <name val="Times New Roman"/>
          <scheme val="none"/>
        </font>
      </dxf>
    </rfmt>
    <rcc rId="0" sId="1" dxf="1">
      <nc r="A28" t="inlineStr">
        <is>
          <t>Иные бюджетные ассигнования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" t="inlineStr">
        <is>
          <t>02 0 00 83290</t>
        </is>
      </nc>
      <ndxf>
        <numFmt numFmtId="30" formatCode="@"/>
        <alignment horizontal="center" vertical="center" readingOrder="0"/>
        <border outline="0">
          <bottom style="thin">
            <color indexed="64"/>
          </bottom>
        </border>
      </ndxf>
    </rcc>
    <rcc rId="0" sId="1" dxf="1">
      <nc r="C28" t="inlineStr">
        <is>
          <t>800</t>
        </is>
      </nc>
      <n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28">
        <f>D29</f>
      </nc>
      <n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">
        <f>E29</f>
      </nc>
      <n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">
        <f>F29</f>
      </nc>
      <n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" start="0" length="0">
      <dxf>
        <fill>
          <patternFill patternType="solid">
            <bgColor theme="0"/>
          </patternFill>
        </fill>
      </dxf>
    </rfmt>
    <rfmt sheetId="1" sqref="H28" start="0" length="0">
      <dxf>
        <fill>
          <patternFill patternType="solid">
            <bgColor theme="0"/>
          </patternFill>
        </fill>
      </dxf>
    </rfmt>
    <rfmt sheetId="1" sqref="I28" start="0" length="0">
      <dxf>
        <fill>
          <patternFill patternType="solid">
            <bgColor theme="0"/>
          </patternFill>
        </fill>
      </dxf>
    </rfmt>
    <rfmt sheetId="1" sqref="J28" start="0" length="0">
      <dxf>
        <fill>
          <patternFill patternType="solid">
            <bgColor theme="0"/>
          </patternFill>
        </fill>
      </dxf>
    </rfmt>
  </rrc>
  <rrc rId="6746" sId="1" ref="A28:XFD28" action="deleteRow">
    <undo index="0" exp="area" ref3D="1" dr="$A$240:$XFD$244" dn="Z_30E81E54_DD45_4653_9DCD_548F6723F554_.wvu.Rows" sId="1"/>
    <rfmt sheetId="1" xfDxf="1" sqref="A28:XFD28" start="0" length="0">
      <dxf>
        <font>
          <name val="Times New Roman"/>
          <scheme val="none"/>
        </font>
      </dxf>
    </rfmt>
    <rcc rId="0" sId="1" dxf="1">
      <nc r="A28" t="inlineStr">
        <is>
          <t>Резервные средства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" t="inlineStr">
        <is>
          <t>02 0 00 83290</t>
        </is>
      </nc>
      <ndxf>
        <numFmt numFmtId="30" formatCode="@"/>
        <alignment horizontal="center" vertical="center" readingOrder="0"/>
        <border outline="0">
          <bottom style="thin">
            <color indexed="64"/>
          </bottom>
        </border>
      </ndxf>
    </rcc>
    <rcc rId="0" sId="1" dxf="1">
      <nc r="C28" t="inlineStr">
        <is>
          <t>870</t>
        </is>
      </nc>
      <n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28">
        <v>0</v>
      </nc>
      <n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28">
        <v>0</v>
      </nc>
      <n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28">
        <v>0</v>
      </nc>
      <n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" start="0" length="0">
      <dxf>
        <fill>
          <patternFill patternType="solid">
            <bgColor theme="0"/>
          </patternFill>
        </fill>
      </dxf>
    </rfmt>
    <rfmt sheetId="1" sqref="H28" start="0" length="0">
      <dxf>
        <fill>
          <patternFill patternType="solid">
            <bgColor theme="0"/>
          </patternFill>
        </fill>
      </dxf>
    </rfmt>
    <rfmt sheetId="1" sqref="I28" start="0" length="0">
      <dxf>
        <fill>
          <patternFill patternType="solid">
            <bgColor theme="0"/>
          </patternFill>
        </fill>
      </dxf>
    </rfmt>
    <rfmt sheetId="1" sqref="J28" start="0" length="0">
      <dxf>
        <fill>
          <patternFill patternType="solid">
            <bgColor theme="0"/>
          </patternFill>
        </fill>
      </dxf>
    </rfmt>
  </rrc>
  <rcc rId="6747" sId="1">
    <oc r="D19">
      <f>D24+D20+#REF!</f>
    </oc>
    <nc r="D19">
      <f>D24+D20</f>
    </nc>
  </rcc>
  <rcc rId="6748" sId="1">
    <oc r="E19">
      <f>E24+E20+#REF!</f>
    </oc>
    <nc r="E19">
      <f>E24+E20</f>
    </nc>
  </rcc>
  <rcc rId="6749" sId="1">
    <oc r="F19">
      <f>F24+F20+#REF!</f>
    </oc>
    <nc r="F19">
      <f>F24+F20</f>
    </nc>
  </rcc>
  <rrc rId="6750" sId="1" ref="A42:XFD42" action="deleteRow">
    <undo index="9" exp="ref" v="1" dr="F42" r="F29" sId="1"/>
    <undo index="9" exp="ref" v="1" dr="E42" r="E29" sId="1"/>
    <undo index="9" exp="ref" v="1" dr="D42" r="D29" sId="1"/>
    <undo index="0" exp="area" ref3D="1" dr="$A$239:$XFD$243" dn="Z_30E81E54_DD45_4653_9DCD_548F6723F554_.wvu.Rows" sId="1"/>
    <rfmt sheetId="1" xfDxf="1" sqref="A42:XFD4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42" t="inlineStr">
        <is>
      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" t="inlineStr">
        <is>
          <t>03 1 00 Э4660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2" start="0" length="0">
      <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42">
        <f>D43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">
        <f>E43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">
        <f>F43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" start="0" length="0">
      <dxf>
        <fill>
          <patternFill>
            <bgColor theme="0"/>
          </patternFill>
        </fill>
      </dxf>
    </rfmt>
    <rfmt sheetId="1" sqref="H42" start="0" length="0">
      <dxf>
        <fill>
          <patternFill>
            <bgColor theme="0"/>
          </patternFill>
        </fill>
      </dxf>
    </rfmt>
    <rfmt sheetId="1" sqref="I42" start="0" length="0">
      <dxf>
        <fill>
          <patternFill>
            <bgColor theme="0"/>
          </patternFill>
        </fill>
      </dxf>
    </rfmt>
    <rfmt sheetId="1" sqref="J42" start="0" length="0">
      <dxf>
        <fill>
          <patternFill>
            <bgColor theme="0"/>
          </patternFill>
        </fill>
      </dxf>
    </rfmt>
  </rrc>
  <rrc rId="6751" sId="1" ref="A42:XFD42" action="deleteRow">
    <undo index="0" exp="area" ref3D="1" dr="$A$238:$XFD$242" dn="Z_30E81E54_DD45_4653_9DCD_548F6723F554_.wvu.Rows" sId="1"/>
    <rfmt sheetId="1" xfDxf="1" sqref="A42:XFD4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42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" t="inlineStr">
        <is>
          <t>03 1 00 Э4660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">
        <v>600</v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2">
        <f>D43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">
        <f>E43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">
        <f>F43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" start="0" length="0">
      <dxf>
        <fill>
          <patternFill>
            <bgColor theme="0"/>
          </patternFill>
        </fill>
      </dxf>
    </rfmt>
    <rfmt sheetId="1" sqref="H42" start="0" length="0">
      <dxf>
        <fill>
          <patternFill>
            <bgColor theme="0"/>
          </patternFill>
        </fill>
      </dxf>
    </rfmt>
    <rfmt sheetId="1" sqref="I42" start="0" length="0">
      <dxf>
        <fill>
          <patternFill>
            <bgColor theme="0"/>
          </patternFill>
        </fill>
      </dxf>
    </rfmt>
    <rfmt sheetId="1" sqref="J42" start="0" length="0">
      <dxf>
        <fill>
          <patternFill>
            <bgColor theme="0"/>
          </patternFill>
        </fill>
      </dxf>
    </rfmt>
  </rrc>
  <rrc rId="6752" sId="1" ref="A42:XFD42" action="deleteRow">
    <undo index="0" exp="area" ref3D="1" dr="$A$237:$XFD$241" dn="Z_30E81E54_DD45_4653_9DCD_548F6723F554_.wvu.Rows" sId="1"/>
    <rfmt sheetId="1" xfDxf="1" sqref="A42:XFD4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42" t="inlineStr">
        <is>
          <t>Субсидии бюджетным учреждениям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" t="inlineStr">
        <is>
          <t>03 1 00 Э4660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">
        <v>610</v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2">
        <f>D43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2">
        <f>E43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2">
        <f>F43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" start="0" length="0">
      <dxf>
        <fill>
          <patternFill>
            <bgColor theme="0"/>
          </patternFill>
        </fill>
      </dxf>
    </rfmt>
    <rfmt sheetId="1" sqref="H42" start="0" length="0">
      <dxf>
        <fill>
          <patternFill>
            <bgColor theme="0"/>
          </patternFill>
        </fill>
      </dxf>
    </rfmt>
    <rfmt sheetId="1" sqref="I42" start="0" length="0">
      <dxf>
        <fill>
          <patternFill>
            <bgColor theme="0"/>
          </patternFill>
        </fill>
      </dxf>
    </rfmt>
    <rfmt sheetId="1" sqref="J42" start="0" length="0">
      <dxf>
        <fill>
          <patternFill>
            <bgColor theme="0"/>
          </patternFill>
        </fill>
      </dxf>
    </rfmt>
  </rrc>
  <rrc rId="6753" sId="1" ref="A42:XFD42" action="deleteRow">
    <undo index="0" exp="area" ref3D="1" dr="$A$236:$XFD$240" dn="Z_30E81E54_DD45_4653_9DCD_548F6723F554_.wvu.Rows" sId="1"/>
    <rfmt sheetId="1" xfDxf="1" sqref="A42:XFD4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42" t="inlineStr">
        <is>
          <t>Субсидии бюджетным учреждениям на  иные цели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" t="inlineStr">
        <is>
          <t>03 1 00 Э4660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">
        <v>612</v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42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42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42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" start="0" length="0">
      <dxf>
        <fill>
          <patternFill>
            <bgColor theme="0"/>
          </patternFill>
        </fill>
      </dxf>
    </rfmt>
    <rfmt sheetId="1" sqref="H42" start="0" length="0">
      <dxf>
        <fill>
          <patternFill>
            <bgColor theme="0"/>
          </patternFill>
        </fill>
      </dxf>
    </rfmt>
    <rfmt sheetId="1" sqref="I42" start="0" length="0">
      <dxf>
        <fill>
          <patternFill>
            <bgColor theme="0"/>
          </patternFill>
        </fill>
      </dxf>
    </rfmt>
    <rfmt sheetId="1" sqref="J42" start="0" length="0">
      <dxf>
        <fill>
          <patternFill>
            <bgColor theme="0"/>
          </patternFill>
        </fill>
      </dxf>
    </rfmt>
  </rrc>
  <rrc rId="6754" sId="1" ref="A52:XFD52" action="deleteRow">
    <undo index="25" exp="ref" v="1" dr="F52" r="F51" sId="1"/>
    <undo index="25" exp="ref" v="1" dr="E52" r="E51" sId="1"/>
    <undo index="25" exp="ref" v="1" dr="D52" r="D51" sId="1"/>
    <undo index="0" exp="area" ref3D="1" dr="$A$235:$XFD$239" dn="Z_30E81E54_DD45_4653_9DCD_548F6723F554_.wvu.Rows" sId="1"/>
    <rfmt sheetId="1" xfDxf="1" sqref="A52:XFD52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52" t="inlineStr">
        <is>
      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      </is>
      </nc>
      <ndxf>
        <font>
          <b val="0"/>
          <name val="Times New Roman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52" t="inlineStr">
        <is>
          <t>03 2 00 L0502</t>
        </is>
      </nc>
      <n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="1" sqref="C52" start="0" length="0">
      <dxf>
        <font>
          <b val="0"/>
          <sz val="10"/>
          <color auto="1"/>
          <name val="Times New Roman"/>
          <scheme val="none"/>
        </font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52">
        <f>D53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2">
        <f>E53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2">
        <f>F53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" start="0" length="0">
      <dxf>
        <fill>
          <patternFill>
            <bgColor theme="0"/>
          </patternFill>
        </fill>
      </dxf>
    </rfmt>
    <rfmt sheetId="1" sqref="H52" start="0" length="0">
      <dxf>
        <fill>
          <patternFill>
            <bgColor theme="0"/>
          </patternFill>
        </fill>
      </dxf>
    </rfmt>
    <rfmt sheetId="1" sqref="I52" start="0" length="0">
      <dxf>
        <fill>
          <patternFill>
            <bgColor theme="0"/>
          </patternFill>
        </fill>
      </dxf>
    </rfmt>
    <rfmt sheetId="1" sqref="J52" start="0" length="0">
      <dxf>
        <fill>
          <patternFill>
            <bgColor theme="0"/>
          </patternFill>
        </fill>
      </dxf>
    </rfmt>
  </rrc>
  <rrc rId="6755" sId="1" ref="A52:XFD52" action="deleteRow">
    <undo index="0" exp="area" ref3D="1" dr="$A$234:$XFD$238" dn="Z_30E81E54_DD45_4653_9DCD_548F6723F554_.wvu.Rows" sId="1"/>
    <rfmt sheetId="1" xfDxf="1" sqref="A52:XFD52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52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b val="0"/>
          <name val="Times New Roman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52" t="inlineStr">
        <is>
          <t>03 2 00 L0502</t>
        </is>
      </nc>
      <n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 numFmtId="34">
      <nc r="C52">
        <v>600</v>
      </nc>
      <ndxf>
        <font>
          <b val="0"/>
          <sz val="10"/>
          <color auto="1"/>
          <name val="Times New Roman"/>
          <scheme val="none"/>
        </font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2">
        <f>D53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2">
        <f>E53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2">
        <f>F53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" start="0" length="0">
      <dxf>
        <fill>
          <patternFill>
            <bgColor theme="0"/>
          </patternFill>
        </fill>
      </dxf>
    </rfmt>
    <rfmt sheetId="1" sqref="H52" start="0" length="0">
      <dxf>
        <fill>
          <patternFill>
            <bgColor theme="0"/>
          </patternFill>
        </fill>
      </dxf>
    </rfmt>
    <rfmt sheetId="1" sqref="I52" start="0" length="0">
      <dxf>
        <fill>
          <patternFill>
            <bgColor theme="0"/>
          </patternFill>
        </fill>
      </dxf>
    </rfmt>
    <rfmt sheetId="1" sqref="J52" start="0" length="0">
      <dxf>
        <fill>
          <patternFill>
            <bgColor theme="0"/>
          </patternFill>
        </fill>
      </dxf>
    </rfmt>
  </rrc>
  <rrc rId="6756" sId="1" ref="A52:XFD52" action="deleteRow">
    <undo index="0" exp="area" ref3D="1" dr="$A$233:$XFD$237" dn="Z_30E81E54_DD45_4653_9DCD_548F6723F554_.wvu.Rows" sId="1"/>
    <rfmt sheetId="1" xfDxf="1" sqref="A52:XFD52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52" t="inlineStr">
        <is>
          <t>Субсидии бюджетным учреждениям</t>
        </is>
      </nc>
      <ndxf>
        <font>
          <b val="0"/>
          <name val="Times New Roman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52" t="inlineStr">
        <is>
          <t>03 2 00 L0502</t>
        </is>
      </nc>
      <n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 numFmtId="34">
      <nc r="C52">
        <v>610</v>
      </nc>
      <ndxf>
        <font>
          <b val="0"/>
          <sz val="10"/>
          <color auto="1"/>
          <name val="Times New Roman"/>
          <scheme val="none"/>
        </font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2">
        <f>D53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2">
        <f>E53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2">
        <f>F53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" start="0" length="0">
      <dxf>
        <fill>
          <patternFill>
            <bgColor theme="0"/>
          </patternFill>
        </fill>
      </dxf>
    </rfmt>
    <rfmt sheetId="1" sqref="H52" start="0" length="0">
      <dxf>
        <fill>
          <patternFill>
            <bgColor theme="0"/>
          </patternFill>
        </fill>
      </dxf>
    </rfmt>
    <rfmt sheetId="1" sqref="I52" start="0" length="0">
      <dxf>
        <fill>
          <patternFill>
            <bgColor theme="0"/>
          </patternFill>
        </fill>
      </dxf>
    </rfmt>
    <rfmt sheetId="1" sqref="J52" start="0" length="0">
      <dxf>
        <fill>
          <patternFill>
            <bgColor theme="0"/>
          </patternFill>
        </fill>
      </dxf>
    </rfmt>
  </rrc>
  <rrc rId="6757" sId="1" ref="A52:XFD52" action="deleteRow">
    <undo index="0" exp="area" ref3D="1" dr="$A$232:$XFD$236" dn="Z_30E81E54_DD45_4653_9DCD_548F6723F554_.wvu.Rows" sId="1"/>
    <rfmt sheetId="1" xfDxf="1" sqref="A52:XFD52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52" t="inlineStr">
        <is>
          <t>Субсидии бюджетным учреждениям на  иные цели</t>
        </is>
      </nc>
      <ndxf>
        <font>
          <b val="0"/>
          <name val="Times New Roman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52" t="inlineStr">
        <is>
          <t>03 2 00 L0502</t>
        </is>
      </nc>
      <n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 numFmtId="34">
      <nc r="C52">
        <v>612</v>
      </nc>
      <ndxf>
        <font>
          <b val="0"/>
          <sz val="10"/>
          <color auto="1"/>
          <name val="Times New Roman"/>
          <scheme val="none"/>
        </font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52">
        <v>0</v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52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2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" start="0" length="0">
      <dxf>
        <fill>
          <patternFill>
            <bgColor theme="0"/>
          </patternFill>
        </fill>
      </dxf>
    </rfmt>
    <rfmt sheetId="1" sqref="H52" start="0" length="0">
      <dxf>
        <fill>
          <patternFill>
            <bgColor theme="0"/>
          </patternFill>
        </fill>
      </dxf>
    </rfmt>
    <rfmt sheetId="1" sqref="I52" start="0" length="0">
      <dxf>
        <fill>
          <patternFill>
            <bgColor theme="0"/>
          </patternFill>
        </fill>
      </dxf>
    </rfmt>
    <rfmt sheetId="1" sqref="J52" start="0" length="0">
      <dxf>
        <fill>
          <patternFill>
            <bgColor theme="0"/>
          </patternFill>
        </fill>
      </dxf>
    </rfmt>
  </rrc>
  <rrc rId="6758" sId="1" ref="A52:XFD52" action="deleteRow">
    <undo index="23" exp="ref" v="1" dr="F52" r="F51" sId="1"/>
    <undo index="23" exp="ref" v="1" dr="E52" r="E51" sId="1"/>
    <undo index="23" exp="ref" v="1" dr="D52" r="D51" sId="1"/>
    <undo index="0" exp="area" ref3D="1" dr="$A$231:$XFD$235" dn="Z_30E81E54_DD45_4653_9DCD_548F6723F554_.wvu.Rows" sId="1"/>
    <rfmt sheetId="1" xfDxf="1" sqref="A52:XFD52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52" t="inlineStr">
        <is>
          <t>Реализация мероприятий по модернизации школьных систем образования (иные межбюджетные трансферты бюджетам муниципальных районов, муниципальных округов и городских округов Архангельской области)</t>
        </is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52" t="inlineStr">
        <is>
          <t>03 2 00 R7502</t>
        </is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center" vertical="top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52">
        <f>D53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2">
        <f>E53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2">
        <f>F53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" start="0" length="0">
      <dxf>
        <fill>
          <patternFill>
            <bgColor theme="0"/>
          </patternFill>
        </fill>
      </dxf>
    </rfmt>
    <rfmt sheetId="1" sqref="H52" start="0" length="0">
      <dxf>
        <fill>
          <patternFill>
            <bgColor theme="0"/>
          </patternFill>
        </fill>
      </dxf>
    </rfmt>
    <rfmt sheetId="1" sqref="I52" start="0" length="0">
      <dxf>
        <fill>
          <patternFill>
            <bgColor theme="0"/>
          </patternFill>
        </fill>
      </dxf>
    </rfmt>
    <rfmt sheetId="1" sqref="J52" start="0" length="0">
      <dxf>
        <fill>
          <patternFill>
            <bgColor theme="0"/>
          </patternFill>
        </fill>
      </dxf>
    </rfmt>
  </rrc>
  <rrc rId="6759" sId="1" ref="A52:XFD52" action="deleteRow">
    <undo index="0" exp="area" ref3D="1" dr="$A$230:$XFD$234" dn="Z_30E81E54_DD45_4653_9DCD_548F6723F554_.wvu.Rows" sId="1"/>
    <rfmt sheetId="1" xfDxf="1" sqref="A52:XFD52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52" t="inlineStr">
        <is>
          <t>Закупка товаров, работ и услуг для обеспечения государственных (муниципальных) нужд</t>
        </is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52" t="inlineStr">
        <is>
          <t>03 2 00 R7502</t>
        </is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center" vertical="top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2">
        <v>200</v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2">
        <f>D53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2">
        <f>E53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2">
        <f>F53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" start="0" length="0">
      <dxf>
        <fill>
          <patternFill>
            <bgColor theme="0"/>
          </patternFill>
        </fill>
      </dxf>
    </rfmt>
    <rfmt sheetId="1" sqref="H52" start="0" length="0">
      <dxf>
        <fill>
          <patternFill>
            <bgColor theme="0"/>
          </patternFill>
        </fill>
      </dxf>
    </rfmt>
    <rfmt sheetId="1" sqref="I52" start="0" length="0">
      <dxf>
        <fill>
          <patternFill>
            <bgColor theme="0"/>
          </patternFill>
        </fill>
      </dxf>
    </rfmt>
    <rfmt sheetId="1" sqref="J52" start="0" length="0">
      <dxf>
        <fill>
          <patternFill>
            <bgColor theme="0"/>
          </patternFill>
        </fill>
      </dxf>
    </rfmt>
  </rrc>
  <rrc rId="6760" sId="1" ref="A52:XFD52" action="deleteRow">
    <undo index="0" exp="area" ref3D="1" dr="$A$229:$XFD$233" dn="Z_30E81E54_DD45_4653_9DCD_548F6723F554_.wvu.Rows" sId="1"/>
    <rfmt sheetId="1" xfDxf="1" sqref="A52:XFD52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52" t="inlineStr">
        <is>
          <t>Иные закупки товаров,работ и услуг для обеспечения государственных (муниципальных) нужд</t>
        </is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52" t="inlineStr">
        <is>
          <t>03 2 00 R7502</t>
        </is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center" vertical="top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2">
        <v>240</v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2">
        <f>D53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2">
        <f>E53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2">
        <f>F53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" start="0" length="0">
      <dxf>
        <fill>
          <patternFill>
            <bgColor theme="0"/>
          </patternFill>
        </fill>
      </dxf>
    </rfmt>
    <rfmt sheetId="1" sqref="H52" start="0" length="0">
      <dxf>
        <fill>
          <patternFill>
            <bgColor theme="0"/>
          </patternFill>
        </fill>
      </dxf>
    </rfmt>
    <rfmt sheetId="1" sqref="I52" start="0" length="0">
      <dxf>
        <fill>
          <patternFill>
            <bgColor theme="0"/>
          </patternFill>
        </fill>
      </dxf>
    </rfmt>
    <rfmt sheetId="1" sqref="J52" start="0" length="0">
      <dxf>
        <fill>
          <patternFill>
            <bgColor theme="0"/>
          </patternFill>
        </fill>
      </dxf>
    </rfmt>
  </rrc>
  <rrc rId="6761" sId="1" ref="A52:XFD52" action="deleteRow">
    <undo index="0" exp="area" ref3D="1" dr="$A$228:$XFD$232" dn="Z_30E81E54_DD45_4653_9DCD_548F6723F554_.wvu.Rows" sId="1"/>
    <rfmt sheetId="1" xfDxf="1" sqref="A52:XFD52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52" t="inlineStr">
        <is>
          <t>Закупка товаров, работ, услуг в целях капитального
ремонта государственного (муниципального) имущества</t>
        </is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justify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52" t="inlineStr">
        <is>
          <t>03 2 00 R7502</t>
        </is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center" vertical="top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2">
        <v>243</v>
      </nc>
      <ndxf>
        <font>
          <b val="0"/>
          <name val="Times New Roman Cyr"/>
          <scheme val="none"/>
        </font>
        <fill>
          <patternFill patternType="none">
            <bgColor indexed="65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52">
        <v>0</v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2">
        <v>0</v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52">
        <v>0</v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" start="0" length="0">
      <dxf>
        <fill>
          <patternFill>
            <bgColor theme="0"/>
          </patternFill>
        </fill>
      </dxf>
    </rfmt>
    <rfmt sheetId="1" sqref="H52" start="0" length="0">
      <dxf>
        <fill>
          <patternFill>
            <bgColor theme="0"/>
          </patternFill>
        </fill>
      </dxf>
    </rfmt>
    <rfmt sheetId="1" sqref="I52" start="0" length="0">
      <dxf>
        <fill>
          <patternFill>
            <bgColor theme="0"/>
          </patternFill>
        </fill>
      </dxf>
    </rfmt>
    <rfmt sheetId="1" sqref="J52" start="0" length="0">
      <dxf>
        <fill>
          <patternFill>
            <bgColor theme="0"/>
          </patternFill>
        </fill>
      </dxf>
    </rfmt>
  </rrc>
  <rrc rId="6762" sId="1" ref="A60:XFD60" action="deleteRow">
    <undo index="17" exp="ref" v="1" dr="F60" r="F51" sId="1"/>
    <undo index="17" exp="ref" v="1" dr="E60" r="E51" sId="1"/>
    <undo index="17" exp="ref" v="1" dr="D60" r="D51" sId="1"/>
    <undo index="0" exp="area" ref3D="1" dr="$A$227:$XFD$231" dn="Z_30E81E54_DD45_4653_9DCD_548F6723F554_.wvu.Rows" sId="1"/>
    <rfmt sheetId="1" xfDxf="1" sqref="A60:XFD60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60" t="inlineStr">
        <is>
      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      </is>
      </nc>
      <ndxf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03 2 00 Э4660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60" start="0" length="0">
      <dxf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60">
        <f>D61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">
        <f>E61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">
        <f>F61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" start="0" length="0">
      <dxf>
        <fill>
          <patternFill>
            <bgColor theme="0"/>
          </patternFill>
        </fill>
      </dxf>
    </rfmt>
    <rfmt sheetId="1" sqref="H60" start="0" length="0">
      <dxf>
        <fill>
          <patternFill>
            <bgColor theme="0"/>
          </patternFill>
        </fill>
      </dxf>
    </rfmt>
    <rfmt sheetId="1" sqref="I60" start="0" length="0">
      <dxf>
        <fill>
          <patternFill>
            <bgColor theme="0"/>
          </patternFill>
        </fill>
      </dxf>
    </rfmt>
    <rfmt sheetId="1" sqref="J60" start="0" length="0">
      <dxf>
        <fill>
          <patternFill>
            <bgColor theme="0"/>
          </patternFill>
        </fill>
      </dxf>
    </rfmt>
  </rrc>
  <rrc rId="6763" sId="1" ref="A60:XFD60" action="deleteRow">
    <undo index="0" exp="area" ref3D="1" dr="$A$226:$XFD$230" dn="Z_30E81E54_DD45_4653_9DCD_548F6723F554_.wvu.Rows" sId="1"/>
    <rfmt sheetId="1" xfDxf="1" sqref="A60:XFD60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60" t="inlineStr">
        <is>
          <t>Предоставление субсидий бюджетным, автономным учреждениям и иным некоммерческим организациям</t>
        </is>
      </nc>
      <ndxf>
        <numFmt numFmtId="30" formatCode="@"/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03 2 00 Э4660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60">
        <v>600</v>
      </nc>
      <ndxf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0">
        <f>D61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">
        <f>E61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">
        <f>F61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" start="0" length="0">
      <dxf>
        <fill>
          <patternFill>
            <bgColor theme="0"/>
          </patternFill>
        </fill>
      </dxf>
    </rfmt>
    <rfmt sheetId="1" sqref="H60" start="0" length="0">
      <dxf>
        <fill>
          <patternFill>
            <bgColor theme="0"/>
          </patternFill>
        </fill>
      </dxf>
    </rfmt>
    <rfmt sheetId="1" sqref="I60" start="0" length="0">
      <dxf>
        <fill>
          <patternFill>
            <bgColor theme="0"/>
          </patternFill>
        </fill>
      </dxf>
    </rfmt>
    <rfmt sheetId="1" sqref="J60" start="0" length="0">
      <dxf>
        <fill>
          <patternFill>
            <bgColor theme="0"/>
          </patternFill>
        </fill>
      </dxf>
    </rfmt>
  </rrc>
  <rrc rId="6764" sId="1" ref="A60:XFD60" action="deleteRow">
    <undo index="0" exp="area" ref3D="1" dr="$A$225:$XFD$229" dn="Z_30E81E54_DD45_4653_9DCD_548F6723F554_.wvu.Rows" sId="1"/>
    <rfmt sheetId="1" xfDxf="1" sqref="A60:XFD60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60" t="inlineStr">
        <is>
          <t>Субсидии бюджетным учреждения</t>
        </is>
      </nc>
      <ndxf>
        <numFmt numFmtId="30" formatCode="@"/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03 2 00 Э4660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60">
        <v>610</v>
      </nc>
      <ndxf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0">
        <f>D61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">
        <f>E61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">
        <f>F61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" start="0" length="0">
      <dxf>
        <fill>
          <patternFill>
            <bgColor theme="0"/>
          </patternFill>
        </fill>
      </dxf>
    </rfmt>
    <rfmt sheetId="1" sqref="H60" start="0" length="0">
      <dxf>
        <fill>
          <patternFill>
            <bgColor theme="0"/>
          </patternFill>
        </fill>
      </dxf>
    </rfmt>
    <rfmt sheetId="1" sqref="I60" start="0" length="0">
      <dxf>
        <fill>
          <patternFill>
            <bgColor theme="0"/>
          </patternFill>
        </fill>
      </dxf>
    </rfmt>
    <rfmt sheetId="1" sqref="J60" start="0" length="0">
      <dxf>
        <fill>
          <patternFill>
            <bgColor theme="0"/>
          </patternFill>
        </fill>
      </dxf>
    </rfmt>
  </rrc>
  <rrc rId="6765" sId="1" ref="A60:XFD60" action="deleteRow">
    <undo index="0" exp="area" ref3D="1" dr="$A$224:$XFD$228" dn="Z_30E81E54_DD45_4653_9DCD_548F6723F554_.wvu.Rows" sId="1"/>
    <rfmt sheetId="1" xfDxf="1" sqref="A60:XFD60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60" t="inlineStr">
        <is>
          <t>Субсидии бюджетным учреждениям на  иные цели</t>
        </is>
      </nc>
      <ndxf>
        <numFmt numFmtId="30" formatCode="@"/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03 2 00 Э4660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60">
        <v>612</v>
      </nc>
      <ndxf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0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0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0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0" start="0" length="0">
      <dxf>
        <fill>
          <patternFill>
            <bgColor theme="0"/>
          </patternFill>
        </fill>
      </dxf>
    </rfmt>
    <rfmt sheetId="1" sqref="H60" start="0" length="0">
      <dxf>
        <fill>
          <patternFill>
            <bgColor theme="0"/>
          </patternFill>
        </fill>
      </dxf>
    </rfmt>
    <rfmt sheetId="1" sqref="I60" start="0" length="0">
      <dxf>
        <fill>
          <patternFill>
            <bgColor theme="0"/>
          </patternFill>
        </fill>
      </dxf>
    </rfmt>
    <rfmt sheetId="1" sqref="J60" start="0" length="0">
      <dxf>
        <fill>
          <patternFill>
            <bgColor theme="0"/>
          </patternFill>
        </fill>
      </dxf>
    </rfmt>
  </rrc>
  <rrc rId="6766" sId="1" ref="A60:XFD60" action="deleteRow">
    <undo index="21" exp="ref" v="1" dr="F60" r="F51" sId="1"/>
    <undo index="21" exp="ref" v="1" dr="E60" r="E51" sId="1"/>
    <undo index="21" exp="ref" v="1" dr="D60" r="D51" sId="1"/>
    <undo index="0" exp="area" ref3D="1" dr="$A$223:$XFD$227" dn="Z_30E81E54_DD45_4653_9DCD_548F6723F554_.wvu.Rows" sId="1"/>
    <rfmt sheetId="1" xfDxf="1" sqref="A60:XFD60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0" t="inlineStr">
        <is>
      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 учреждениям общего образования)</t>
        </is>
      </nc>
      <ndxf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03 2 00 Э6852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60" start="0" length="0">
      <dxf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60">
        <f>D61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">
        <f>E61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">
        <f>F61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" start="0" length="0">
      <dxf>
        <fill>
          <patternFill>
            <bgColor theme="0"/>
          </patternFill>
        </fill>
      </dxf>
    </rfmt>
    <rfmt sheetId="1" sqref="H60" start="0" length="0">
      <dxf>
        <fill>
          <patternFill>
            <bgColor theme="0"/>
          </patternFill>
        </fill>
      </dxf>
    </rfmt>
    <rfmt sheetId="1" sqref="I60" start="0" length="0">
      <dxf>
        <fill>
          <patternFill>
            <bgColor theme="0"/>
          </patternFill>
        </fill>
      </dxf>
    </rfmt>
    <rfmt sheetId="1" sqref="J60" start="0" length="0">
      <dxf>
        <fill>
          <patternFill>
            <bgColor theme="0"/>
          </patternFill>
        </fill>
      </dxf>
    </rfmt>
  </rrc>
  <rrc rId="6767" sId="1" ref="A60:XFD60" action="deleteRow">
    <undo index="0" exp="area" ref3D="1" dr="$A$222:$XFD$226" dn="Z_30E81E54_DD45_4653_9DCD_548F6723F554_.wvu.Rows" sId="1"/>
    <rfmt sheetId="1" xfDxf="1" sqref="A60:XFD60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0" t="inlineStr">
        <is>
          <t>Предоставление субсидий бюджетным, автономным учреждениям и иным некоммерческим организациям</t>
        </is>
      </nc>
      <ndxf>
        <numFmt numFmtId="30" formatCode="@"/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03 2 00 Э6852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60">
        <v>600</v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0">
        <f>D61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">
        <f>E61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">
        <f>F61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" start="0" length="0">
      <dxf>
        <fill>
          <patternFill>
            <bgColor theme="0"/>
          </patternFill>
        </fill>
      </dxf>
    </rfmt>
    <rfmt sheetId="1" sqref="H60" start="0" length="0">
      <dxf>
        <fill>
          <patternFill>
            <bgColor theme="0"/>
          </patternFill>
        </fill>
      </dxf>
    </rfmt>
    <rfmt sheetId="1" sqref="I60" start="0" length="0">
      <dxf>
        <fill>
          <patternFill>
            <bgColor theme="0"/>
          </patternFill>
        </fill>
      </dxf>
    </rfmt>
    <rfmt sheetId="1" sqref="J60" start="0" length="0">
      <dxf>
        <fill>
          <patternFill>
            <bgColor theme="0"/>
          </patternFill>
        </fill>
      </dxf>
    </rfmt>
  </rrc>
  <rrc rId="6768" sId="1" ref="A60:XFD60" action="deleteRow">
    <undo index="0" exp="area" ref3D="1" dr="$A$221:$XFD$225" dn="Z_30E81E54_DD45_4653_9DCD_548F6723F554_.wvu.Rows" sId="1"/>
    <rfmt sheetId="1" xfDxf="1" sqref="A60:XFD60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0" t="inlineStr">
        <is>
          <t>Субсидии бюджетным учреждениям</t>
        </is>
      </nc>
      <ndxf>
        <numFmt numFmtId="30" formatCode="@"/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03 2 00 Э6852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60">
        <v>610</v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0">
        <f>D61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">
        <f>E61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">
        <f>F61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" start="0" length="0">
      <dxf>
        <fill>
          <patternFill>
            <bgColor theme="0"/>
          </patternFill>
        </fill>
      </dxf>
    </rfmt>
    <rfmt sheetId="1" sqref="H60" start="0" length="0">
      <dxf>
        <fill>
          <patternFill>
            <bgColor theme="0"/>
          </patternFill>
        </fill>
      </dxf>
    </rfmt>
    <rfmt sheetId="1" sqref="I60" start="0" length="0">
      <dxf>
        <fill>
          <patternFill>
            <bgColor theme="0"/>
          </patternFill>
        </fill>
      </dxf>
    </rfmt>
    <rfmt sheetId="1" sqref="J60" start="0" length="0">
      <dxf>
        <fill>
          <patternFill>
            <bgColor theme="0"/>
          </patternFill>
        </fill>
      </dxf>
    </rfmt>
  </rrc>
  <rrc rId="6769" sId="1" ref="A60:XFD60" action="deleteRow">
    <undo index="0" exp="area" ref3D="1" dr="$A$220:$XFD$224" dn="Z_30E81E54_DD45_4653_9DCD_548F6723F554_.wvu.Rows" sId="1"/>
    <rfmt sheetId="1" xfDxf="1" sqref="A60:XFD60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0" t="inlineStr">
        <is>
          <t>Субсидии бюджетным учреждениям на иные цели</t>
        </is>
      </nc>
      <ndxf>
        <numFmt numFmtId="30" formatCode="@"/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03 2 00 Э6852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60">
        <v>612</v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60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34">
      <nc r="E60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60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" start="0" length="0">
      <dxf>
        <fill>
          <patternFill>
            <bgColor theme="0"/>
          </patternFill>
        </fill>
      </dxf>
    </rfmt>
    <rfmt sheetId="1" sqref="H60" start="0" length="0">
      <dxf>
        <fill>
          <patternFill>
            <bgColor theme="0"/>
          </patternFill>
        </fill>
      </dxf>
    </rfmt>
    <rfmt sheetId="1" sqref="I60" start="0" length="0">
      <dxf>
        <fill>
          <patternFill>
            <bgColor theme="0"/>
          </patternFill>
        </fill>
      </dxf>
    </rfmt>
    <rfmt sheetId="1" sqref="J60" start="0" length="0">
      <dxf>
        <fill>
          <patternFill>
            <bgColor theme="0"/>
          </patternFill>
        </fill>
      </dxf>
    </rfmt>
  </rrc>
  <rrc rId="6770" sId="1" ref="A103:XFD103" action="deleteRow">
    <undo index="7" exp="ref" v="1" dr="F103" r="F102" sId="1"/>
    <undo index="7" exp="ref" v="1" dr="E103" r="E102" sId="1"/>
    <undo index="7" exp="ref" v="1" dr="D103" r="D102" sId="1"/>
    <undo index="0" exp="area" ref3D="1" dr="$A$219:$XFD$223" dn="Z_30E81E54_DD45_4653_9DCD_548F6723F554_.wvu.Rows" sId="1"/>
    <rfmt sheetId="1" xfDxf="1" sqref="A103:XFD10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103" t="inlineStr">
        <is>
      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103" t="inlineStr">
        <is>
          <t>03 3 00 S6960</t>
        </is>
      </nc>
      <ndxf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103" start="0" length="0">
      <dxf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103">
        <f>D104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3">
        <f>E104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3">
        <f>F104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3" start="0" length="0">
      <dxf>
        <fill>
          <patternFill>
            <bgColor theme="0"/>
          </patternFill>
        </fill>
      </dxf>
    </rfmt>
    <rfmt sheetId="1" sqref="H103" start="0" length="0">
      <dxf>
        <fill>
          <patternFill>
            <bgColor theme="0"/>
          </patternFill>
        </fill>
      </dxf>
    </rfmt>
    <rfmt sheetId="1" sqref="I103" start="0" length="0">
      <dxf>
        <fill>
          <patternFill>
            <bgColor theme="0"/>
          </patternFill>
        </fill>
      </dxf>
    </rfmt>
    <rfmt sheetId="1" sqref="J103" start="0" length="0">
      <dxf>
        <fill>
          <patternFill>
            <bgColor theme="0"/>
          </patternFill>
        </fill>
      </dxf>
    </rfmt>
  </rrc>
  <rrc rId="6771" sId="1" ref="A103:XFD103" action="deleteRow">
    <undo index="0" exp="area" ref3D="1" dr="$A$218:$XFD$222" dn="Z_30E81E54_DD45_4653_9DCD_548F6723F554_.wvu.Rows" sId="1"/>
    <rfmt sheetId="1" xfDxf="1" sqref="A103:XFD10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103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103" t="inlineStr">
        <is>
          <t>03 3 00 S6960</t>
        </is>
      </nc>
      <ndxf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103">
        <v>600</v>
      </nc>
      <ndxf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03">
        <f>D104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3">
        <f>E104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3">
        <f>F104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3" start="0" length="0">
      <dxf>
        <fill>
          <patternFill>
            <bgColor theme="0"/>
          </patternFill>
        </fill>
      </dxf>
    </rfmt>
    <rfmt sheetId="1" sqref="H103" start="0" length="0">
      <dxf>
        <fill>
          <patternFill>
            <bgColor theme="0"/>
          </patternFill>
        </fill>
      </dxf>
    </rfmt>
    <rfmt sheetId="1" sqref="I103" start="0" length="0">
      <dxf>
        <fill>
          <patternFill>
            <bgColor theme="0"/>
          </patternFill>
        </fill>
      </dxf>
    </rfmt>
    <rfmt sheetId="1" sqref="J103" start="0" length="0">
      <dxf>
        <fill>
          <patternFill>
            <bgColor theme="0"/>
          </patternFill>
        </fill>
      </dxf>
    </rfmt>
  </rrc>
  <rrc rId="6772" sId="1" ref="A103:XFD103" action="deleteRow">
    <undo index="0" exp="area" ref3D="1" dr="$A$217:$XFD$221" dn="Z_30E81E54_DD45_4653_9DCD_548F6723F554_.wvu.Rows" sId="1"/>
    <rfmt sheetId="1" xfDxf="1" sqref="A103:XFD10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103" t="inlineStr">
        <is>
          <t>Субсидии бюджетным учреждениям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103" t="inlineStr">
        <is>
          <t>03 3 00 S6960</t>
        </is>
      </nc>
      <ndxf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103">
        <v>610</v>
      </nc>
      <ndxf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03">
        <f>D104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3">
        <f>E104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3">
        <f>F104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3" start="0" length="0">
      <dxf>
        <fill>
          <patternFill>
            <bgColor theme="0"/>
          </patternFill>
        </fill>
      </dxf>
    </rfmt>
    <rfmt sheetId="1" sqref="H103" start="0" length="0">
      <dxf>
        <fill>
          <patternFill>
            <bgColor theme="0"/>
          </patternFill>
        </fill>
      </dxf>
    </rfmt>
    <rfmt sheetId="1" sqref="I103" start="0" length="0">
      <dxf>
        <fill>
          <patternFill>
            <bgColor theme="0"/>
          </patternFill>
        </fill>
      </dxf>
    </rfmt>
    <rfmt sheetId="1" sqref="J103" start="0" length="0">
      <dxf>
        <fill>
          <patternFill>
            <bgColor theme="0"/>
          </patternFill>
        </fill>
      </dxf>
    </rfmt>
  </rrc>
  <rrc rId="6773" sId="1" ref="A103:XFD103" action="deleteRow">
    <undo index="0" exp="area" ref3D="1" dr="$A$216:$XFD$220" dn="Z_30E81E54_DD45_4653_9DCD_548F6723F554_.wvu.Rows" sId="1"/>
    <rfmt sheetId="1" xfDxf="1" sqref="A103:XFD10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103" t="inlineStr">
        <is>
          <t>Субсидии бюджетным учреждениям на иные цели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103" t="inlineStr">
        <is>
          <t>03 3 00 S6960</t>
        </is>
      </nc>
      <ndxf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103">
        <v>612</v>
      </nc>
      <ndxf>
        <numFmt numFmtId="166" formatCode="_(* #,##0_);_(* \(#,##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103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34">
      <nc r="E103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103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3" start="0" length="0">
      <dxf>
        <fill>
          <patternFill>
            <bgColor theme="0"/>
          </patternFill>
        </fill>
      </dxf>
    </rfmt>
    <rfmt sheetId="1" sqref="H103" start="0" length="0">
      <dxf>
        <fill>
          <patternFill>
            <bgColor theme="0"/>
          </patternFill>
        </fill>
      </dxf>
    </rfmt>
    <rfmt sheetId="1" sqref="I103" start="0" length="0">
      <dxf>
        <fill>
          <patternFill>
            <bgColor theme="0"/>
          </patternFill>
        </fill>
      </dxf>
    </rfmt>
    <rfmt sheetId="1" sqref="J103" start="0" length="0">
      <dxf>
        <fill>
          <patternFill>
            <bgColor theme="0"/>
          </patternFill>
        </fill>
      </dxf>
    </rfmt>
  </rrc>
  <rcc rId="6774" sId="1">
    <oc r="D102">
      <f>D103+D107+D111+D115+#REF!</f>
    </oc>
    <nc r="D102">
      <f>D103+D107+D111+D115</f>
    </nc>
  </rcc>
  <rcc rId="6775" sId="1">
    <oc r="E102">
      <f>E103+E107+E111+E115+#REF!</f>
    </oc>
    <nc r="E102">
      <f>E103+E107+E111+E115</f>
    </nc>
  </rcc>
  <rcc rId="6776" sId="1">
    <oc r="F102">
      <f>F103+F107+F111+F115+#REF!</f>
    </oc>
    <nc r="F102">
      <f>F103+F107+F111+F115</f>
    </nc>
  </rcc>
  <rrc rId="6777" sId="1" ref="A165:XFD165" action="deleteRow">
    <undo index="9" exp="ref" v="1" dr="F165" r="F164" sId="1"/>
    <undo index="9" exp="ref" v="1" dr="E165" r="E164" sId="1"/>
    <undo index="9" exp="ref" v="1" dr="D165" r="D164" sId="1"/>
    <undo index="0" exp="area" ref3D="1" dr="$A$215:$XFD$219" dn="Z_30E81E54_DD45_4653_9DCD_548F6723F554_.wvu.Rows" sId="1"/>
    <rfmt sheetId="1" xfDxf="1" sqref="A165:XFD165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165" t="inlineStr">
        <is>
          <t>Организация и содержание мест захоронения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65" t="inlineStr">
        <is>
          <t>04 0 00 10840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s="1" dxf="1">
      <nc r="D165">
        <f>D166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5">
        <f>E166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5">
        <f>F166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ill>
          <patternFill>
            <bgColor theme="0"/>
          </patternFill>
        </fill>
      </dxf>
    </rfmt>
    <rfmt sheetId="1" sqref="H165" start="0" length="0">
      <dxf>
        <fill>
          <patternFill>
            <bgColor theme="0"/>
          </patternFill>
        </fill>
      </dxf>
    </rfmt>
    <rfmt sheetId="1" sqref="I165" start="0" length="0">
      <dxf>
        <fill>
          <patternFill>
            <bgColor theme="0"/>
          </patternFill>
        </fill>
      </dxf>
    </rfmt>
    <rfmt sheetId="1" sqref="J165" start="0" length="0">
      <dxf>
        <fill>
          <patternFill>
            <bgColor theme="0"/>
          </patternFill>
        </fill>
      </dxf>
    </rfmt>
  </rrc>
  <rrc rId="6778" sId="1" ref="A165:XFD165" action="deleteRow">
    <undo index="0" exp="area" ref3D="1" dr="$A$214:$XFD$218" dn="Z_30E81E54_DD45_4653_9DCD_548F6723F554_.wvu.Rows" sId="1"/>
    <rfmt sheetId="1" xfDxf="1" sqref="A165:XFD165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165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65" t="inlineStr">
        <is>
          <t>04 0 00 10840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200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D165">
        <f>D166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5">
        <f>E166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5">
        <f>F166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ill>
          <patternFill>
            <bgColor theme="0"/>
          </patternFill>
        </fill>
      </dxf>
    </rfmt>
    <rfmt sheetId="1" sqref="H165" start="0" length="0">
      <dxf>
        <fill>
          <patternFill>
            <bgColor theme="0"/>
          </patternFill>
        </fill>
      </dxf>
    </rfmt>
    <rfmt sheetId="1" sqref="I165" start="0" length="0">
      <dxf>
        <fill>
          <patternFill>
            <bgColor theme="0"/>
          </patternFill>
        </fill>
      </dxf>
    </rfmt>
    <rfmt sheetId="1" sqref="J165" start="0" length="0">
      <dxf>
        <fill>
          <patternFill>
            <bgColor theme="0"/>
          </patternFill>
        </fill>
      </dxf>
    </rfmt>
  </rrc>
  <rrc rId="6779" sId="1" ref="A165:XFD165" action="deleteRow">
    <undo index="0" exp="area" ref3D="1" dr="$A$213:$XFD$217" dn="Z_30E81E54_DD45_4653_9DCD_548F6723F554_.wvu.Rows" sId="1"/>
    <rfmt sheetId="1" xfDxf="1" sqref="A165:XFD165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165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65" t="inlineStr">
        <is>
          <t>04 0 00 10840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240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D165">
        <f>D166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65">
        <f>E166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65">
        <f>F166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ill>
          <patternFill>
            <bgColor theme="0"/>
          </patternFill>
        </fill>
      </dxf>
    </rfmt>
    <rfmt sheetId="1" sqref="H165" start="0" length="0">
      <dxf>
        <fill>
          <patternFill>
            <bgColor theme="0"/>
          </patternFill>
        </fill>
      </dxf>
    </rfmt>
    <rfmt sheetId="1" sqref="I165" start="0" length="0">
      <dxf>
        <fill>
          <patternFill>
            <bgColor theme="0"/>
          </patternFill>
        </fill>
      </dxf>
    </rfmt>
    <rfmt sheetId="1" sqref="J165" start="0" length="0">
      <dxf>
        <fill>
          <patternFill>
            <bgColor theme="0"/>
          </patternFill>
        </fill>
      </dxf>
    </rfmt>
  </rrc>
  <rrc rId="6780" sId="1" ref="A165:XFD165" action="deleteRow">
    <undo index="0" exp="area" ref3D="1" dr="$A$212:$XFD$216" dn="Z_30E81E54_DD45_4653_9DCD_548F6723F554_.wvu.Rows" sId="1"/>
    <rfmt sheetId="1" xfDxf="1" sqref="A165:XFD165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165" t="inlineStr">
        <is>
          <t xml:space="preserve">Прочая закупка товаров, работ и услуг 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65" t="inlineStr">
        <is>
          <t>04 0 00 10840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244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 numFmtId="34">
      <nc r="D165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65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65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ill>
          <patternFill>
            <bgColor theme="0"/>
          </patternFill>
        </fill>
      </dxf>
    </rfmt>
    <rfmt sheetId="1" sqref="H165" start="0" length="0">
      <dxf>
        <fill>
          <patternFill>
            <bgColor theme="0"/>
          </patternFill>
        </fill>
      </dxf>
    </rfmt>
    <rfmt sheetId="1" sqref="I165" start="0" length="0">
      <dxf>
        <fill>
          <patternFill>
            <bgColor theme="0"/>
          </patternFill>
        </fill>
      </dxf>
    </rfmt>
    <rfmt sheetId="1" sqref="J165" start="0" length="0">
      <dxf>
        <fill>
          <patternFill>
            <bgColor theme="0"/>
          </patternFill>
        </fill>
      </dxf>
    </rfmt>
  </rrc>
  <rcc rId="6781" sId="1">
    <oc r="D164">
      <f>D165+D169+D173+D178+D185+#REF!</f>
    </oc>
    <nc r="D164">
      <f>D165+D169+D173+D178+D185</f>
    </nc>
  </rcc>
  <rcc rId="6782" sId="1">
    <oc r="E164">
      <f>E165+E169+E173+E178+E185+#REF!</f>
    </oc>
    <nc r="E164">
      <f>E165+E169+E173+E178+E185</f>
    </nc>
  </rcc>
  <rcc rId="6783" sId="1">
    <oc r="F164">
      <f>F165+F169+F173+F178+F185+#REF!</f>
    </oc>
    <nc r="F164">
      <f>F165+F169+F173+F178+F185</f>
    </nc>
  </rcc>
  <rrc rId="6784" sId="1" ref="A182:XFD182" action="deleteRow">
    <undo index="1" exp="ref" v="1" dr="F182" r="F178" sId="1"/>
    <undo index="1" exp="ref" v="1" dr="E182" r="E178" sId="1"/>
    <undo index="1" exp="ref" v="1" dr="D182" r="D178" sId="1"/>
    <undo index="0" exp="area" ref3D="1" dr="$A$211:$XFD$215" dn="Z_30E81E54_DD45_4653_9DCD_548F6723F554_.wvu.Rows" sId="1"/>
    <rfmt sheetId="1" xfDxf="1" sqref="A182:XFD182" start="0" length="0">
      <dxf>
        <font>
          <name val="Times New Roman"/>
          <scheme val="none"/>
        </font>
        <alignment vertical="center" readingOrder="0"/>
      </dxf>
    </rfmt>
    <rcc rId="0" sId="1" dxf="1">
      <nc r="A182" t="inlineStr">
        <is>
          <t>Иные бюджетные ассигнования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82" t="inlineStr">
        <is>
          <t>04 0 00 83680</t>
        </is>
      </nc>
      <ndxf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>
        <v>800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D182">
        <f>D183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2">
        <f>E183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2">
        <f>F183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2" start="0" length="0">
      <dxf>
        <fill>
          <patternFill patternType="solid">
            <bgColor theme="0"/>
          </patternFill>
        </fill>
      </dxf>
    </rfmt>
    <rfmt sheetId="1" sqref="H182" start="0" length="0">
      <dxf>
        <fill>
          <patternFill patternType="solid">
            <bgColor theme="0"/>
          </patternFill>
        </fill>
      </dxf>
    </rfmt>
    <rfmt sheetId="1" sqref="I182" start="0" length="0">
      <dxf>
        <fill>
          <patternFill patternType="solid">
            <bgColor theme="0"/>
          </patternFill>
        </fill>
      </dxf>
    </rfmt>
    <rfmt sheetId="1" sqref="J182" start="0" length="0">
      <dxf>
        <fill>
          <patternFill patternType="solid">
            <bgColor theme="0"/>
          </patternFill>
        </fill>
      </dxf>
    </rfmt>
  </rrc>
  <rrc rId="6785" sId="1" ref="A182:XFD182" action="deleteRow">
    <undo index="0" exp="area" ref3D="1" dr="$A$210:$XFD$214" dn="Z_30E81E54_DD45_4653_9DCD_548F6723F554_.wvu.Rows" sId="1"/>
    <rfmt sheetId="1" xfDxf="1" sqref="A182:XFD182" start="0" length="0">
      <dxf>
        <font>
          <name val="Times New Roman"/>
          <scheme val="none"/>
        </font>
        <alignment vertical="center" readingOrder="0"/>
      </dxf>
    </rfmt>
    <rcc rId="0" sId="1" dxf="1">
      <nc r="A182" t="inlineStr">
        <is>
          <t xml:space="preserve">Исполнение судебных актов 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82" t="inlineStr">
        <is>
          <t>04 0 00 83680</t>
        </is>
      </nc>
      <ndxf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>
        <v>830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D182">
        <f>D183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82">
        <f>E183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82">
        <f>F183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2" start="0" length="0">
      <dxf>
        <fill>
          <patternFill patternType="solid">
            <bgColor theme="0"/>
          </patternFill>
        </fill>
      </dxf>
    </rfmt>
    <rfmt sheetId="1" sqref="H182" start="0" length="0">
      <dxf>
        <fill>
          <patternFill patternType="solid">
            <bgColor theme="0"/>
          </patternFill>
        </fill>
      </dxf>
    </rfmt>
    <rfmt sheetId="1" sqref="I182" start="0" length="0">
      <dxf>
        <fill>
          <patternFill patternType="solid">
            <bgColor theme="0"/>
          </patternFill>
        </fill>
      </dxf>
    </rfmt>
    <rfmt sheetId="1" sqref="J182" start="0" length="0">
      <dxf>
        <fill>
          <patternFill patternType="solid">
            <bgColor theme="0"/>
          </patternFill>
        </fill>
      </dxf>
    </rfmt>
  </rrc>
  <rrc rId="6786" sId="1" ref="A182:XFD182" action="deleteRow">
    <undo index="0" exp="area" ref3D="1" dr="$A$209:$XFD$213" dn="Z_30E81E54_DD45_4653_9DCD_548F6723F554_.wvu.Rows" sId="1"/>
    <rfmt sheetId="1" xfDxf="1" sqref="A182:XFD182" start="0" length="0">
      <dxf>
        <font>
          <name val="Times New Roman"/>
          <scheme val="none"/>
        </font>
        <alignment vertical="center" readingOrder="0"/>
      </dxf>
    </rfmt>
    <rcc rId="0" sId="1" dxf="1">
      <nc r="A182" t="inlineStr">
        <is>
          <t>Исполнение судебных актов Российской Федерации и мировых соглашений по возмещению причиненного вреда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82" t="inlineStr">
        <is>
          <t>04 0 00 83680</t>
        </is>
      </nc>
      <ndxf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>
        <v>831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 numFmtId="34">
      <nc r="D182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182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82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fill>
          <patternFill patternType="solid">
            <bgColor theme="0"/>
          </patternFill>
        </fill>
      </dxf>
    </rfmt>
    <rfmt sheetId="1" sqref="H182" start="0" length="0">
      <dxf>
        <fill>
          <patternFill patternType="solid">
            <bgColor theme="0"/>
          </patternFill>
        </fill>
      </dxf>
    </rfmt>
    <rfmt sheetId="1" sqref="I182" start="0" length="0">
      <dxf>
        <fill>
          <patternFill patternType="solid">
            <bgColor theme="0"/>
          </patternFill>
        </fill>
      </dxf>
    </rfmt>
    <rfmt sheetId="1" sqref="J182" start="0" length="0">
      <dxf>
        <fill>
          <patternFill patternType="solid">
            <bgColor theme="0"/>
          </patternFill>
        </fill>
      </dxf>
    </rfmt>
  </rrc>
  <rcc rId="6787" sId="1">
    <oc r="D178">
      <f>D179+#REF!</f>
    </oc>
    <nc r="D178">
      <f>D179</f>
    </nc>
  </rcc>
  <rcc rId="6788" sId="1">
    <oc r="E178">
      <f>E179+#REF!</f>
    </oc>
    <nc r="E178">
      <f>E179</f>
    </nc>
  </rcc>
  <rcc rId="6789" sId="1">
    <oc r="F178">
      <f>F179+#REF!</f>
    </oc>
    <nc r="F178">
      <f>F179</f>
    </nc>
  </rcc>
  <rrc rId="6790" sId="1" ref="A193:XFD193" action="deleteRow">
    <undo index="1" exp="ref" v="1" dr="F193" r="F192" sId="1"/>
    <undo index="1" exp="ref" v="1" dr="E193" r="E192" sId="1"/>
    <undo index="1" exp="ref" v="1" dr="D193" r="D192" sId="1"/>
    <undo index="0" exp="area" ref3D="1" dr="$A$208:$XFD$212" dn="Z_30E81E54_DD45_4653_9DCD_548F6723F554_.wvu.Rows" sId="1"/>
    <rfmt sheetId="1" xfDxf="1" sqref="A193:XFD193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193" t="inlineStr">
        <is>
          <t>Приобретение и установка автономных дымовых пожарных извещателей</t>
        </is>
      </nc>
      <ndxf>
        <font>
          <i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3" t="inlineStr">
        <is>
          <t>05 2 00 S6870</t>
        </is>
      </nc>
      <ndxf>
        <font>
          <i val="0"/>
          <name val="Times New Roman"/>
          <scheme val="none"/>
        </font>
        <numFmt numFmtId="30" formatCode="@"/>
        <alignment horizontal="center" readingOrder="0"/>
        <border outline="0">
          <bottom style="thin">
            <color indexed="64"/>
          </bottom>
        </border>
      </ndxf>
    </rcc>
    <rfmt sheetId="1" sqref="C193" start="0" length="0">
      <dxf>
        <font>
          <i val="0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193">
        <f>D194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3">
        <f>E194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3">
        <f>F194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93" start="0" length="0">
      <dxf>
        <fill>
          <patternFill patternType="solid">
            <bgColor theme="0"/>
          </patternFill>
        </fill>
      </dxf>
    </rfmt>
    <rfmt sheetId="1" sqref="I193" start="0" length="0">
      <dxf>
        <fill>
          <patternFill patternType="solid">
            <bgColor theme="0"/>
          </patternFill>
        </fill>
      </dxf>
    </rfmt>
    <rfmt sheetId="1" sqref="J193" start="0" length="0">
      <dxf>
        <fill>
          <patternFill patternType="solid">
            <bgColor theme="0"/>
          </patternFill>
        </fill>
      </dxf>
    </rfmt>
  </rrc>
  <rrc rId="6791" sId="1" ref="A193:XFD193" action="deleteRow">
    <undo index="0" exp="area" ref3D="1" dr="$A$207:$XFD$211" dn="Z_30E81E54_DD45_4653_9DCD_548F6723F554_.wvu.Rows" sId="1"/>
    <rfmt sheetId="1" xfDxf="1" sqref="A193:XFD193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193" t="inlineStr">
        <is>
          <t>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3" t="inlineStr">
        <is>
          <t>05 2 00 S6870</t>
        </is>
      </nc>
      <ndxf>
        <font>
          <i val="0"/>
          <name val="Times New Roman"/>
          <scheme val="none"/>
        </font>
        <numFmt numFmtId="30" formatCode="@"/>
        <alignment horizontal="center" readingOrder="0"/>
        <border outline="0">
          <bottom style="thin">
            <color indexed="64"/>
          </bottom>
        </border>
      </ndxf>
    </rcc>
    <rcc rId="0" sId="1" dxf="1">
      <nc r="C193">
        <v>200</v>
      </nc>
      <ndxf>
        <font>
          <i val="0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93">
        <f>D194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3">
        <f>E194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3">
        <f>F194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93" start="0" length="0">
      <dxf>
        <fill>
          <patternFill patternType="solid">
            <bgColor theme="0"/>
          </patternFill>
        </fill>
      </dxf>
    </rfmt>
    <rfmt sheetId="1" sqref="I193" start="0" length="0">
      <dxf>
        <fill>
          <patternFill patternType="solid">
            <bgColor theme="0"/>
          </patternFill>
        </fill>
      </dxf>
    </rfmt>
    <rfmt sheetId="1" sqref="J193" start="0" length="0">
      <dxf>
        <fill>
          <patternFill patternType="solid">
            <bgColor theme="0"/>
          </patternFill>
        </fill>
      </dxf>
    </rfmt>
  </rrc>
  <rrc rId="6792" sId="1" ref="A193:XFD193" action="deleteRow">
    <undo index="0" exp="area" ref3D="1" dr="$A$206:$XFD$210" dn="Z_30E81E54_DD45_4653_9DCD_548F6723F554_.wvu.Rows" sId="1"/>
    <rfmt sheetId="1" xfDxf="1" sqref="A193:XFD193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193" t="inlineStr">
        <is>
          <t>Иные закупки товаров,работ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3" t="inlineStr">
        <is>
          <t>05 2 00 S6870</t>
        </is>
      </nc>
      <ndxf>
        <font>
          <i val="0"/>
          <name val="Times New Roman"/>
          <scheme val="none"/>
        </font>
        <numFmt numFmtId="30" formatCode="@"/>
        <alignment horizontal="center" readingOrder="0"/>
        <border outline="0">
          <bottom style="thin">
            <color indexed="64"/>
          </bottom>
        </border>
      </ndxf>
    </rcc>
    <rcc rId="0" sId="1" dxf="1">
      <nc r="C193">
        <v>240</v>
      </nc>
      <ndxf>
        <font>
          <i val="0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93">
        <f>D194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3">
        <f>E194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3">
        <f>F194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93" start="0" length="0">
      <dxf>
        <fill>
          <patternFill patternType="solid">
            <bgColor theme="0"/>
          </patternFill>
        </fill>
      </dxf>
    </rfmt>
    <rfmt sheetId="1" sqref="I193" start="0" length="0">
      <dxf>
        <fill>
          <patternFill patternType="solid">
            <bgColor theme="0"/>
          </patternFill>
        </fill>
      </dxf>
    </rfmt>
    <rfmt sheetId="1" sqref="J193" start="0" length="0">
      <dxf>
        <fill>
          <patternFill patternType="solid">
            <bgColor theme="0"/>
          </patternFill>
        </fill>
      </dxf>
    </rfmt>
  </rrc>
  <rrc rId="6793" sId="1" ref="A193:XFD193" action="deleteRow">
    <undo index="0" exp="area" ref3D="1" dr="$A$205:$XFD$209" dn="Z_30E81E54_DD45_4653_9DCD_548F6723F554_.wvu.Rows" sId="1"/>
    <rfmt sheetId="1" xfDxf="1" sqref="A193:XFD193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193" t="inlineStr">
        <is>
          <t xml:space="preserve">Прочая закупка товаров, работ и услуг </t>
        </is>
      </nc>
      <ndxf>
        <font>
          <i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3" t="inlineStr">
        <is>
          <t>05 2 00 S6870</t>
        </is>
      </nc>
      <ndxf>
        <font>
          <i val="0"/>
          <name val="Times New Roman"/>
          <scheme val="none"/>
        </font>
        <numFmt numFmtId="30" formatCode="@"/>
        <alignment horizontal="center" readingOrder="0"/>
        <border outline="0">
          <bottom style="thin">
            <color indexed="64"/>
          </bottom>
        </border>
      </ndxf>
    </rcc>
    <rcc rId="0" sId="1" dxf="1">
      <nc r="C193">
        <v>244</v>
      </nc>
      <ndxf>
        <font>
          <i val="0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93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193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93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3" start="0" length="0">
      <dxf>
        <fill>
          <patternFill patternType="solid">
            <bgColor theme="0"/>
          </patternFill>
        </fill>
      </dxf>
    </rfmt>
    <rfmt sheetId="1" sqref="I193" start="0" length="0">
      <dxf>
        <fill>
          <patternFill patternType="solid">
            <bgColor theme="0"/>
          </patternFill>
        </fill>
      </dxf>
    </rfmt>
    <rfmt sheetId="1" sqref="J193" start="0" length="0">
      <dxf>
        <fill>
          <patternFill patternType="solid">
            <bgColor theme="0"/>
          </patternFill>
        </fill>
      </dxf>
    </rfmt>
  </rrc>
  <rcc rId="6794" sId="1">
    <oc r="D192">
      <f>D193+#REF!</f>
    </oc>
    <nc r="D192">
      <f>D193</f>
    </nc>
  </rcc>
  <rcc rId="6795" sId="1">
    <oc r="E192">
      <f>E193+#REF!</f>
    </oc>
    <nc r="E192">
      <f>E193</f>
    </nc>
  </rcc>
  <rcc rId="6796" sId="1">
    <oc r="F192">
      <f>F193+#REF!</f>
    </oc>
    <nc r="F192">
      <f>F193</f>
    </nc>
  </rcc>
  <rrc rId="6797" sId="1" ref="A197:XFD197" action="deleteRow">
    <undo index="1" exp="ref" v="1" dr="F197" r="F193" sId="1"/>
    <undo index="1" exp="ref" v="1" dr="E197" r="E193" sId="1"/>
    <undo index="1" exp="ref" v="1" dr="D197" r="D193" sId="1"/>
    <undo index="0" exp="area" ref3D="1" dr="$A$204:$XFD$208" dn="Z_30E81E54_DD45_4653_9DCD_548F6723F554_.wvu.Rows" sId="1"/>
    <rfmt sheetId="1" xfDxf="1" sqref="A197:XFD197" start="0" length="0">
      <dxf>
        <font>
          <name val="Times New Roman"/>
          <scheme val="none"/>
        </font>
        <alignment vertical="center" readingOrder="0"/>
      </dxf>
    </rfmt>
    <rcc rId="0" sId="1" s="1" dxf="1">
      <nc r="A197" t="inlineStr">
        <is>
          <t xml:space="preserve">Иные бюджетные ассигнования </t>
        </is>
      </nc>
      <ndxf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197" t="inlineStr">
        <is>
          <t>05 2 00 80520</t>
        </is>
      </nc>
      <ndxf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quotePrefix="1">
      <nc r="C197" t="inlineStr">
        <is>
          <t>800</t>
        </is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97">
        <f>D198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7">
        <f>E198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7">
        <f>F198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97" start="0" length="0">
      <dxf>
        <fill>
          <patternFill patternType="solid">
            <bgColor theme="0"/>
          </patternFill>
        </fill>
      </dxf>
    </rfmt>
    <rfmt sheetId="1" sqref="I197" start="0" length="0">
      <dxf>
        <fill>
          <patternFill patternType="solid">
            <bgColor theme="0"/>
          </patternFill>
        </fill>
      </dxf>
    </rfmt>
    <rfmt sheetId="1" sqref="J197" start="0" length="0">
      <dxf>
        <fill>
          <patternFill patternType="solid">
            <bgColor theme="0"/>
          </patternFill>
        </fill>
      </dxf>
    </rfmt>
  </rrc>
  <rrc rId="6798" sId="1" ref="A197:XFD197" action="deleteRow">
    <undo index="0" exp="area" ref3D="1" dr="$A$203:$XFD$207" dn="Z_30E81E54_DD45_4653_9DCD_548F6723F554_.wvu.Rows" sId="1"/>
    <rfmt sheetId="1" xfDxf="1" sqref="A197:XFD197" start="0" length="0">
      <dxf>
        <font>
          <name val="Times New Roman"/>
          <scheme val="none"/>
        </font>
        <alignment vertical="center" readingOrder="0"/>
      </dxf>
    </rfmt>
    <rcc rId="0" sId="1" dxf="1">
      <nc r="A197" t="inlineStr">
        <is>
          <t>Уплата налогов, сборов и иных платежей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197" t="inlineStr">
        <is>
          <t>05 2 00 80520</t>
        </is>
      </nc>
      <ndxf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quotePrefix="1">
      <nc r="C197" t="inlineStr">
        <is>
          <t>850</t>
        </is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9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9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9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97" start="0" length="0">
      <dxf>
        <fill>
          <patternFill patternType="solid">
            <bgColor theme="0"/>
          </patternFill>
        </fill>
      </dxf>
    </rfmt>
    <rfmt sheetId="1" sqref="I197" start="0" length="0">
      <dxf>
        <fill>
          <patternFill patternType="solid">
            <bgColor theme="0"/>
          </patternFill>
        </fill>
      </dxf>
    </rfmt>
    <rfmt sheetId="1" sqref="J197" start="0" length="0">
      <dxf>
        <fill>
          <patternFill patternType="solid">
            <bgColor theme="0"/>
          </patternFill>
        </fill>
      </dxf>
    </rfmt>
  </rrc>
  <rcc rId="6799" sId="1">
    <oc r="D193">
      <f>D194+#REF!</f>
    </oc>
    <nc r="D193">
      <f>D194</f>
    </nc>
  </rcc>
  <rcc rId="6800" sId="1">
    <oc r="E193">
      <f>E194+#REF!</f>
    </oc>
    <nc r="E193">
      <f>E194</f>
    </nc>
  </rcc>
  <rcc rId="6801" sId="1">
    <oc r="F193">
      <f>F194+#REF!</f>
    </oc>
    <nc r="F193">
      <f>F194</f>
    </nc>
  </rcc>
  <rrc rId="6802" sId="1" ref="A231:XFD231" action="deleteRow">
    <undo index="0" exp="ref" v="1" dr="F231" r="F230" sId="1"/>
    <undo index="0" exp="ref" v="1" dr="E231" r="E230" sId="1"/>
    <undo index="0" exp="ref" v="1" dr="D231" r="D230" sId="1"/>
    <rfmt sheetId="1" xfDxf="1" sqref="A231:XFD231" start="0" length="0">
      <dxf>
        <font>
          <i/>
          <name val="Times New Roman"/>
          <scheme val="none"/>
        </font>
        <alignment vertical="center" readingOrder="0"/>
      </dxf>
    </rfmt>
    <rcc rId="0" sId="1" s="1" dxf="1">
      <nc r="A231" t="inlineStr">
        <is>
          <t>Развитие территориального общественного самоуправления в Архангельской области</t>
        </is>
      </nc>
      <ndxf>
        <font>
          <i val="0"/>
          <sz val="10"/>
          <color auto="1"/>
          <name val="Times New Roman"/>
          <scheme val="none"/>
        </font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31" t="inlineStr">
        <is>
          <t>07 0 00 S8420</t>
        </is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231" start="0" length="0">
      <dxf>
        <font>
          <i val="0"/>
          <sz val="10"/>
          <color auto="1"/>
          <name val="Times New Roman"/>
          <scheme val="none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231">
        <f>D232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31">
        <f>E232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31">
        <f>F232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803" sId="1" ref="A231:XFD231" action="deleteRow">
    <rfmt sheetId="1" xfDxf="1" sqref="A231:XFD231" start="0" length="0">
      <dxf>
        <font>
          <i/>
          <name val="Times New Roman"/>
          <scheme val="none"/>
        </font>
        <alignment vertical="center" readingOrder="0"/>
      </dxf>
    </rfmt>
    <rcc rId="0" sId="1" s="1" dxf="1">
      <nc r="A231" t="inlineStr">
        <is>
          <t>Закупка товаров, работ и услуг для обеспечения государственных (муниципальных) нужд</t>
        </is>
      </nc>
      <ndxf>
        <font>
          <i val="0"/>
          <sz val="10"/>
          <color auto="1"/>
          <name val="Times New Roman"/>
          <scheme val="none"/>
        </font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31" t="inlineStr">
        <is>
          <t>07 0 00 S8420</t>
        </is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0">
      <nc r="C231">
        <v>200</v>
      </nc>
      <ndxf>
        <font>
          <i val="0"/>
          <sz val="10"/>
          <color auto="1"/>
          <name val="Times New Roman"/>
          <scheme val="none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231">
        <f>D232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31">
        <f>E232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31">
        <f>F232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804" sId="1" ref="A231:XFD231" action="deleteRow">
    <rfmt sheetId="1" xfDxf="1" sqref="A231:XFD231" start="0" length="0">
      <dxf>
        <font>
          <i/>
          <name val="Times New Roman"/>
          <scheme val="none"/>
        </font>
        <alignment vertical="center" readingOrder="0"/>
      </dxf>
    </rfmt>
    <rcc rId="0" sId="1" s="1" dxf="1">
      <nc r="A231" t="inlineStr">
        <is>
          <t>Иные закупки товаров, работ и услуг для обеспечения государственных (муниципальных) нужд</t>
        </is>
      </nc>
      <ndxf>
        <font>
          <i val="0"/>
          <sz val="10"/>
          <color auto="1"/>
          <name val="Times New Roman"/>
          <scheme val="none"/>
        </font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31" t="inlineStr">
        <is>
          <t>07 0 00 S8420</t>
        </is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0">
      <nc r="C231">
        <v>240</v>
      </nc>
      <ndxf>
        <font>
          <i val="0"/>
          <sz val="10"/>
          <color auto="1"/>
          <name val="Times New Roman"/>
          <scheme val="none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231">
        <f>D232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31">
        <f>E232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31">
        <f>F232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805" sId="1" ref="A231:XFD231" action="deleteRow">
    <rfmt sheetId="1" xfDxf="1" sqref="A231:XFD231" start="0" length="0">
      <dxf>
        <font>
          <i/>
          <name val="Times New Roman"/>
          <scheme val="none"/>
        </font>
        <alignment vertical="center" readingOrder="0"/>
      </dxf>
    </rfmt>
    <rcc rId="0" sId="1" s="1" dxf="1">
      <nc r="A231" t="inlineStr">
        <is>
          <t>Прочая закупка товаров, работ и услуг</t>
        </is>
      </nc>
      <ndxf>
        <font>
          <i val="0"/>
          <sz val="10"/>
          <color auto="1"/>
          <name val="Times New Roman"/>
          <scheme val="none"/>
        </font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31" t="inlineStr">
        <is>
          <t>07 0 00 S8420</t>
        </is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0">
      <nc r="C231">
        <v>244</v>
      </nc>
      <ndxf>
        <font>
          <i val="0"/>
          <sz val="10"/>
          <color auto="1"/>
          <name val="Times New Roman"/>
          <scheme val="none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231">
        <v>0</v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31" start="0" length="0">
      <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31" start="0" length="0">
      <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06" sId="1" numFmtId="34">
    <oc r="D230">
      <f>#REF!</f>
    </oc>
    <nc r="D230">
      <v>0</v>
    </nc>
  </rcc>
  <rcc rId="6807" sId="1" numFmtId="34">
    <oc r="E230">
      <f>#REF!</f>
    </oc>
    <nc r="E230">
      <v>0</v>
    </nc>
  </rcc>
  <rcc rId="6808" sId="1" numFmtId="34">
    <oc r="F230">
      <f>#REF!</f>
    </oc>
    <nc r="F230">
      <v>0</v>
    </nc>
  </rcc>
  <rrc rId="6809" sId="1" ref="A245:XFD245" action="deleteRow">
    <rfmt sheetId="1" xfDxf="1" sqref="A245:XFD245" start="0" length="0">
      <dxf>
        <font>
          <name val="Times New Roman"/>
          <scheme val="none"/>
        </font>
        <alignment vertical="center" readingOrder="0"/>
      </dxf>
    </rfmt>
    <rfmt sheetId="1" sqref="A245" start="0" length="0">
      <dxf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B245" start="0" length="0">
      <dxf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C245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245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245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45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5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I245" start="0" length="0">
      <dxf>
        <fill>
          <patternFill patternType="solid">
            <bgColor theme="0"/>
          </patternFill>
        </fill>
      </dxf>
    </rfmt>
    <rfmt sheetId="1" sqref="J245" start="0" length="0">
      <dxf>
        <fill>
          <patternFill patternType="solid">
            <bgColor theme="0"/>
          </patternFill>
        </fill>
      </dxf>
    </rfmt>
  </rrc>
  <rrc rId="6810" sId="1" ref="A362:XFD362" action="deleteRow">
    <undo index="0" exp="ref" v="1" dr="F362" r="F357" sId="1"/>
    <undo index="0" exp="ref" v="1" dr="E362" r="E357" sId="1"/>
    <undo index="0" exp="ref" v="1" dr="D362" r="D357" sId="1"/>
    <rfmt sheetId="1" xfDxf="1" sqref="A362:XFD36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362" t="inlineStr">
        <is>
          <t>Мероприятия в рамках регионального проекта "Формирование комфортной городской среды в Архангельской области"</t>
        </is>
      </nc>
      <ndxf>
        <fill>
          <patternFill patternType="none">
            <bgColor indexed="65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2" t="inlineStr">
        <is>
          <t>17 0 F2 00000</t>
        </is>
      </nc>
      <ndxf>
        <font>
          <name val="Times New Roman Cyr"/>
          <scheme val="none"/>
        </font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bottom style="thin">
            <color indexed="64"/>
          </bottom>
        </border>
      </ndxf>
    </rcc>
    <rfmt sheetId="1" sqref="C362" start="0" length="0">
      <dxf>
        <font>
          <name val="Times New Roman Cyr"/>
          <scheme val="none"/>
        </font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62">
        <f>D363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2">
        <f>E363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2">
        <f>F363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ill>
          <patternFill>
            <bgColor theme="0"/>
          </patternFill>
        </fill>
      </dxf>
    </rfmt>
    <rfmt sheetId="1" sqref="H362" start="0" length="0">
      <dxf>
        <fill>
          <patternFill>
            <bgColor theme="0"/>
          </patternFill>
        </fill>
      </dxf>
    </rfmt>
    <rfmt sheetId="1" sqref="I362" start="0" length="0">
      <dxf>
        <fill>
          <patternFill>
            <bgColor theme="0"/>
          </patternFill>
        </fill>
      </dxf>
    </rfmt>
    <rfmt sheetId="1" sqref="J362" start="0" length="0">
      <dxf>
        <fill>
          <patternFill>
            <bgColor theme="0"/>
          </patternFill>
        </fill>
      </dxf>
    </rfmt>
  </rrc>
  <rrc rId="6811" sId="1" ref="A362:XFD362" action="deleteRow">
    <rfmt sheetId="1" xfDxf="1" sqref="A362:XFD36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362" t="inlineStr">
        <is>
          <t>Поддержка государственных программ  формирования современной городской среды</t>
        </is>
      </nc>
      <ndxf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2" t="inlineStr">
        <is>
          <t>17 0 F2 55551</t>
        </is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362" start="0" length="0">
      <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62">
        <f>D363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2">
        <f>E363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2">
        <f>F363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ill>
          <patternFill>
            <bgColor theme="0"/>
          </patternFill>
        </fill>
      </dxf>
    </rfmt>
    <rfmt sheetId="1" sqref="H362" start="0" length="0">
      <dxf>
        <fill>
          <patternFill>
            <bgColor theme="0"/>
          </patternFill>
        </fill>
      </dxf>
    </rfmt>
    <rfmt sheetId="1" sqref="I362" start="0" length="0">
      <dxf>
        <fill>
          <patternFill>
            <bgColor theme="0"/>
          </patternFill>
        </fill>
      </dxf>
    </rfmt>
    <rfmt sheetId="1" sqref="J362" start="0" length="0">
      <dxf>
        <fill>
          <patternFill>
            <bgColor theme="0"/>
          </patternFill>
        </fill>
      </dxf>
    </rfmt>
  </rrc>
  <rrc rId="6812" sId="1" ref="A362:XFD362" action="deleteRow">
    <rfmt sheetId="1" xfDxf="1" sqref="A362:XFD36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362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2" t="inlineStr">
        <is>
          <t>17 0 F2 55551</t>
        </is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362">
        <v>200</v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62">
        <f>D363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2">
        <f>E363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2">
        <f>F363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ill>
          <patternFill>
            <bgColor theme="0"/>
          </patternFill>
        </fill>
      </dxf>
    </rfmt>
    <rfmt sheetId="1" sqref="H362" start="0" length="0">
      <dxf>
        <fill>
          <patternFill>
            <bgColor theme="0"/>
          </patternFill>
        </fill>
      </dxf>
    </rfmt>
    <rfmt sheetId="1" sqref="I362" start="0" length="0">
      <dxf>
        <fill>
          <patternFill>
            <bgColor theme="0"/>
          </patternFill>
        </fill>
      </dxf>
    </rfmt>
    <rfmt sheetId="1" sqref="J362" start="0" length="0">
      <dxf>
        <fill>
          <patternFill>
            <bgColor theme="0"/>
          </patternFill>
        </fill>
      </dxf>
    </rfmt>
  </rrc>
  <rrc rId="6813" sId="1" ref="A362:XFD362" action="deleteRow">
    <rfmt sheetId="1" xfDxf="1" sqref="A362:XFD36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362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2" t="inlineStr">
        <is>
          <t>17 0 F2 55551</t>
        </is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362">
        <v>240</v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62">
        <f>D363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2">
        <f>E363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2">
        <f>F363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ill>
          <patternFill>
            <bgColor theme="0"/>
          </patternFill>
        </fill>
      </dxf>
    </rfmt>
    <rfmt sheetId="1" sqref="H362" start="0" length="0">
      <dxf>
        <fill>
          <patternFill>
            <bgColor theme="0"/>
          </patternFill>
        </fill>
      </dxf>
    </rfmt>
    <rfmt sheetId="1" sqref="I362" start="0" length="0">
      <dxf>
        <fill>
          <patternFill>
            <bgColor theme="0"/>
          </patternFill>
        </fill>
      </dxf>
    </rfmt>
    <rfmt sheetId="1" sqref="J362" start="0" length="0">
      <dxf>
        <fill>
          <patternFill>
            <bgColor theme="0"/>
          </patternFill>
        </fill>
      </dxf>
    </rfmt>
  </rrc>
  <rrc rId="6814" sId="1" ref="A362:XFD362" action="deleteRow">
    <rfmt sheetId="1" xfDxf="1" sqref="A362:XFD36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362" t="inlineStr">
        <is>
          <t xml:space="preserve">Прочая закупка товаров, работ и услуг </t>
        </is>
      </nc>
      <ndxf>
        <fill>
          <patternFill patternType="none">
            <bgColor indexed="65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2" t="inlineStr">
        <is>
          <t>17 0 F2 55551</t>
        </is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362">
        <v>244</v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362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362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62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2" start="0" length="0">
      <dxf>
        <fill>
          <patternFill>
            <bgColor theme="0"/>
          </patternFill>
        </fill>
      </dxf>
    </rfmt>
    <rfmt sheetId="1" sqref="H362" start="0" length="0">
      <dxf>
        <fill>
          <patternFill>
            <bgColor theme="0"/>
          </patternFill>
        </fill>
      </dxf>
    </rfmt>
    <rfmt sheetId="1" sqref="I362" start="0" length="0">
      <dxf>
        <fill>
          <patternFill>
            <bgColor theme="0"/>
          </patternFill>
        </fill>
      </dxf>
    </rfmt>
    <rfmt sheetId="1" sqref="J362" start="0" length="0">
      <dxf>
        <fill>
          <patternFill>
            <bgColor theme="0"/>
          </patternFill>
        </fill>
      </dxf>
    </rfmt>
  </rrc>
  <rcc rId="6815" sId="1">
    <oc r="D357">
      <f>#REF!+D358</f>
    </oc>
    <nc r="D357">
      <f>D358</f>
    </nc>
  </rcc>
  <rcc rId="6816" sId="1">
    <oc r="E357">
      <f>#REF!+E358</f>
    </oc>
    <nc r="E357">
      <f>E358</f>
    </nc>
  </rcc>
  <rcc rId="6817" sId="1">
    <oc r="F357">
      <f>#REF!+F358</f>
    </oc>
    <nc r="F357">
      <f>F358</f>
    </nc>
  </rcc>
  <rrc rId="6818" sId="1" ref="A363:XFD363" action="deleteRow">
    <undo index="0" exp="ref" v="1" dr="F363" r="F362" sId="1"/>
    <undo index="0" exp="ref" v="1" dr="E363" r="E362" sId="1"/>
    <undo index="0" exp="ref" v="1" dr="D363" r="D362" sId="1"/>
    <rfmt sheetId="1" xfDxf="1" sqref="A363:XFD363" start="0" length="0">
      <dxf>
        <font>
          <name val="Times New Roman"/>
          <scheme val="none"/>
        </font>
        <alignment vertical="center" readingOrder="0"/>
      </dxf>
    </rfmt>
    <rcc rId="0" sId="1" dxf="1">
      <nc r="A363" t="inlineStr">
        <is>
          <t>Разработка проектно-сметной документации для строительства и реконструкции (модернизации) объектов питьевого водоснабжения</t>
        </is>
      </nc>
      <ndxf>
        <font>
          <name val="Times New Roman Cyr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00 S6640</t>
        </is>
      </nc>
      <ndxf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="1" sqref="C363" start="0" length="0">
      <dxf>
        <font>
          <i/>
          <sz val="10"/>
          <color auto="1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63">
        <f>D364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>
        <f>E364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>
        <f>F364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 patternType="solid">
            <bgColor theme="0"/>
          </patternFill>
        </fill>
      </dxf>
    </rfmt>
    <rfmt sheetId="1" sqref="H363" start="0" length="0">
      <dxf>
        <fill>
          <patternFill patternType="solid">
            <bgColor theme="0"/>
          </patternFill>
        </fill>
      </dxf>
    </rfmt>
    <rfmt sheetId="1" sqref="I363" start="0" length="0">
      <dxf>
        <fill>
          <patternFill patternType="solid">
            <bgColor theme="0"/>
          </patternFill>
        </fill>
      </dxf>
    </rfmt>
    <rfmt sheetId="1" sqref="J363" start="0" length="0">
      <dxf>
        <fill>
          <patternFill patternType="solid">
            <bgColor theme="0"/>
          </patternFill>
        </fill>
      </dxf>
    </rfmt>
  </rrc>
  <rrc rId="6819" sId="1" ref="A363:XFD363" action="deleteRow">
    <rfmt sheetId="1" xfDxf="1" sqref="A363:XFD363" start="0" length="0">
      <dxf>
        <font>
          <name val="Times New Roman"/>
          <scheme val="none"/>
        </font>
        <alignment vertical="center" readingOrder="0"/>
      </dxf>
    </rfmt>
    <rcc rId="0" sId="1" dxf="1">
      <nc r="A363" t="inlineStr">
        <is>
          <t>Капитальные вложения в объекты государственной (муниципальной) собственности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00 S6640</t>
        </is>
      </nc>
      <ndxf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363">
        <v>400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63">
        <f>D364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>
        <f>E364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>
        <f>F364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 patternType="solid">
            <bgColor theme="0"/>
          </patternFill>
        </fill>
      </dxf>
    </rfmt>
    <rfmt sheetId="1" sqref="H363" start="0" length="0">
      <dxf>
        <fill>
          <patternFill patternType="solid">
            <bgColor theme="0"/>
          </patternFill>
        </fill>
      </dxf>
    </rfmt>
    <rfmt sheetId="1" sqref="I363" start="0" length="0">
      <dxf>
        <fill>
          <patternFill patternType="solid">
            <bgColor theme="0"/>
          </patternFill>
        </fill>
      </dxf>
    </rfmt>
    <rfmt sheetId="1" sqref="J363" start="0" length="0">
      <dxf>
        <fill>
          <patternFill patternType="solid">
            <bgColor theme="0"/>
          </patternFill>
        </fill>
      </dxf>
    </rfmt>
  </rrc>
  <rrc rId="6820" sId="1" ref="A363:XFD363" action="deleteRow">
    <rfmt sheetId="1" xfDxf="1" sqref="A363:XFD363" start="0" length="0">
      <dxf>
        <font>
          <name val="Times New Roman"/>
          <scheme val="none"/>
        </font>
        <alignment vertical="center" readingOrder="0"/>
      </dxf>
    </rfmt>
    <rcc rId="0" sId="1" dxf="1">
      <nc r="A363" t="inlineStr">
        <is>
          <t>Бюджетные инвестиции</t>
        </is>
      </nc>
      <ndxf>
        <font>
          <name val="Times New Roman Cyr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00 S6640</t>
        </is>
      </nc>
      <ndxf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363">
        <v>410</v>
      </nc>
      <n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363">
        <f>D364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>
        <f>E364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>
        <f>F364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 patternType="solid">
            <bgColor theme="0"/>
          </patternFill>
        </fill>
      </dxf>
    </rfmt>
    <rfmt sheetId="1" sqref="H363" start="0" length="0">
      <dxf>
        <fill>
          <patternFill patternType="solid">
            <bgColor theme="0"/>
          </patternFill>
        </fill>
      </dxf>
    </rfmt>
    <rfmt sheetId="1" sqref="I363" start="0" length="0">
      <dxf>
        <fill>
          <patternFill patternType="solid">
            <bgColor theme="0"/>
          </patternFill>
        </fill>
      </dxf>
    </rfmt>
    <rfmt sheetId="1" sqref="J363" start="0" length="0">
      <dxf>
        <fill>
          <patternFill patternType="solid">
            <bgColor theme="0"/>
          </patternFill>
        </fill>
      </dxf>
    </rfmt>
  </rrc>
  <rrc rId="6821" sId="1" ref="A363:XFD363" action="deleteRow">
    <rfmt sheetId="1" xfDxf="1" sqref="A363:XFD363" start="0" length="0">
      <dxf>
        <font>
          <name val="Times New Roman"/>
          <scheme val="none"/>
        </font>
        <alignment vertical="center" readingOrder="0"/>
      </dxf>
    </rfmt>
    <rcc rId="0" sId="1" dxf="1">
      <nc r="A363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name val="Times New Roman Cyr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00 S6640</t>
        </is>
      </nc>
      <ndxf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363">
        <v>414</v>
      </nc>
      <n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363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63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363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 patternType="solid">
            <bgColor theme="0"/>
          </patternFill>
        </fill>
      </dxf>
    </rfmt>
    <rfmt sheetId="1" sqref="H363" start="0" length="0">
      <dxf>
        <fill>
          <patternFill patternType="solid">
            <bgColor theme="0"/>
          </patternFill>
        </fill>
      </dxf>
    </rfmt>
    <rfmt sheetId="1" sqref="I363" start="0" length="0">
      <dxf>
        <fill>
          <patternFill patternType="solid">
            <bgColor theme="0"/>
          </patternFill>
        </fill>
      </dxf>
    </rfmt>
    <rfmt sheetId="1" sqref="J363" start="0" length="0">
      <dxf>
        <fill>
          <patternFill patternType="solid">
            <bgColor theme="0"/>
          </patternFill>
        </fill>
      </dxf>
    </rfmt>
  </rrc>
  <rrc rId="6822" sId="1" ref="A363:XFD363" action="deleteRow">
    <undo index="1" exp="ref" v="1" dr="F363" r="F362" sId="1"/>
    <undo index="1" exp="ref" v="1" dr="E363" r="E362" sId="1"/>
    <undo index="1" exp="ref" v="1" dr="D363" r="D362" sId="1"/>
    <rfmt sheetId="1" xfDxf="1" sqref="A363:XFD363" start="0" length="0">
      <dxf>
        <font>
          <name val="Times New Roman"/>
          <scheme val="none"/>
        </font>
        <alignment vertical="center" readingOrder="0"/>
      </dxf>
    </rfmt>
    <rcc rId="0" sId="1" dxf="1">
      <nc r="A363" t="inlineStr">
        <is>
          <t>Мероприятия в рамках Федерального проекта "Чистая вода"</t>
        </is>
      </nc>
      <ndxf>
        <font>
          <name val="Times New Roman Cyr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F5 00000</t>
        </is>
      </nc>
      <ndxf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363" start="0" length="0">
      <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363">
        <f>D364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>
        <f>E364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>
        <f>F364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 patternType="solid">
            <bgColor theme="0"/>
          </patternFill>
        </fill>
      </dxf>
    </rfmt>
    <rfmt sheetId="1" sqref="H363" start="0" length="0">
      <dxf>
        <fill>
          <patternFill patternType="solid">
            <bgColor theme="0"/>
          </patternFill>
        </fill>
      </dxf>
    </rfmt>
    <rfmt sheetId="1" sqref="I363" start="0" length="0">
      <dxf>
        <fill>
          <patternFill patternType="solid">
            <bgColor theme="0"/>
          </patternFill>
        </fill>
      </dxf>
    </rfmt>
    <rfmt sheetId="1" sqref="J363" start="0" length="0">
      <dxf>
        <fill>
          <patternFill patternType="solid">
            <bgColor theme="0"/>
          </patternFill>
        </fill>
      </dxf>
    </rfmt>
  </rrc>
  <rrc rId="6823" sId="1" ref="A363:XFD363" action="deleteRow">
    <rfmt sheetId="1" xfDxf="1" sqref="A363:XFD363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363" t="inlineStr">
        <is>
          <t>Строительство и реконструкция (модернизация) объектов питьевого водоснабжения</t>
        </is>
      </nc>
      <ndxf>
        <font>
          <name val="Times New Roman Cyr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F5 52431</t>
        </is>
      </nc>
      <ndxf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363" start="0" length="0">
      <dxf>
        <font>
          <name val="Times New Roman Cyr"/>
          <scheme val="none"/>
        </font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363">
        <f>D364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>
        <f>E364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>
        <f>F364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>
            <bgColor theme="0"/>
          </patternFill>
        </fill>
      </dxf>
    </rfmt>
    <rfmt sheetId="1" sqref="H363" start="0" length="0">
      <dxf>
        <fill>
          <patternFill>
            <bgColor theme="0"/>
          </patternFill>
        </fill>
      </dxf>
    </rfmt>
    <rfmt sheetId="1" sqref="I363" start="0" length="0">
      <dxf>
        <fill>
          <patternFill>
            <bgColor theme="0"/>
          </patternFill>
        </fill>
      </dxf>
    </rfmt>
    <rfmt sheetId="1" sqref="J363" start="0" length="0">
      <dxf>
        <fill>
          <patternFill>
            <bgColor theme="0"/>
          </patternFill>
        </fill>
      </dxf>
    </rfmt>
  </rrc>
  <rrc rId="6824" sId="1" ref="A363:XFD363" action="deleteRow">
    <rfmt sheetId="1" xfDxf="1" sqref="A363:XFD363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363" t="inlineStr">
        <is>
          <t>Капитальные вложения в объекты государственной (муниципальной) собственности</t>
        </is>
      </nc>
      <ndxf>
        <font>
          <name val="Times New Roman Cyr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F5 52431</t>
        </is>
      </nc>
      <ndxf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363">
        <v>400</v>
      </nc>
      <ndxf>
        <font>
          <name val="Times New Roman Cyr"/>
          <scheme val="none"/>
        </font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363">
        <f>D364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>
        <f>E364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>
        <f>F364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>
            <bgColor theme="0"/>
          </patternFill>
        </fill>
      </dxf>
    </rfmt>
    <rfmt sheetId="1" sqref="H363" start="0" length="0">
      <dxf>
        <fill>
          <patternFill>
            <bgColor theme="0"/>
          </patternFill>
        </fill>
      </dxf>
    </rfmt>
    <rfmt sheetId="1" sqref="I363" start="0" length="0">
      <dxf>
        <fill>
          <patternFill>
            <bgColor theme="0"/>
          </patternFill>
        </fill>
      </dxf>
    </rfmt>
    <rfmt sheetId="1" sqref="J363" start="0" length="0">
      <dxf>
        <fill>
          <patternFill>
            <bgColor theme="0"/>
          </patternFill>
        </fill>
      </dxf>
    </rfmt>
  </rrc>
  <rrc rId="6825" sId="1" ref="A363:XFD363" action="deleteRow">
    <rfmt sheetId="1" xfDxf="1" sqref="A363:XFD363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363" t="inlineStr">
        <is>
          <t>Бюджетные инвестиции</t>
        </is>
      </nc>
      <ndxf>
        <font>
          <name val="Times New Roman Cyr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F5 52431</t>
        </is>
      </nc>
      <ndxf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363">
        <v>410</v>
      </nc>
      <ndxf>
        <font>
          <name val="Times New Roman Cyr"/>
          <scheme val="none"/>
        </font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363">
        <f>D364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>
        <f>E364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>
        <f>F364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>
            <bgColor theme="0"/>
          </patternFill>
        </fill>
      </dxf>
    </rfmt>
    <rfmt sheetId="1" sqref="H363" start="0" length="0">
      <dxf>
        <fill>
          <patternFill>
            <bgColor theme="0"/>
          </patternFill>
        </fill>
      </dxf>
    </rfmt>
    <rfmt sheetId="1" sqref="I363" start="0" length="0">
      <dxf>
        <fill>
          <patternFill>
            <bgColor theme="0"/>
          </patternFill>
        </fill>
      </dxf>
    </rfmt>
    <rfmt sheetId="1" sqref="J363" start="0" length="0">
      <dxf>
        <fill>
          <patternFill>
            <bgColor theme="0"/>
          </patternFill>
        </fill>
      </dxf>
    </rfmt>
  </rrc>
  <rrc rId="6826" sId="1" ref="A363:XFD363" action="deleteRow">
    <rfmt sheetId="1" xfDxf="1" sqref="A363:XFD363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363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name val="Times New Roman Cyr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F5 52431</t>
        </is>
      </nc>
      <ndxf>
        <fill>
          <patternFill patternType="none">
            <bgColor indexed="65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363">
        <v>414</v>
      </nc>
      <ndxf>
        <font>
          <name val="Times New Roman Cyr"/>
          <scheme val="none"/>
        </font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363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363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63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3" start="0" length="0">
      <dxf>
        <fill>
          <patternFill>
            <bgColor theme="0"/>
          </patternFill>
        </fill>
      </dxf>
    </rfmt>
    <rfmt sheetId="1" sqref="H363" start="0" length="0">
      <dxf>
        <fill>
          <patternFill>
            <bgColor theme="0"/>
          </patternFill>
        </fill>
      </dxf>
    </rfmt>
    <rfmt sheetId="1" sqref="I363" start="0" length="0">
      <dxf>
        <fill>
          <patternFill>
            <bgColor theme="0"/>
          </patternFill>
        </fill>
      </dxf>
    </rfmt>
    <rfmt sheetId="1" sqref="J363" start="0" length="0">
      <dxf>
        <fill>
          <patternFill>
            <bgColor theme="0"/>
          </patternFill>
        </fill>
      </dxf>
    </rfmt>
  </rrc>
  <rrc rId="6827" sId="1" ref="A363:XFD363" action="deleteRow">
    <undo index="3" exp="ref" v="1" dr="F363" r="F362" sId="1"/>
    <undo index="3" exp="ref" v="1" dr="E363" r="E362" sId="1"/>
    <undo index="3" exp="ref" v="1" dr="D363" r="D362" sId="1"/>
    <rfmt sheetId="1" xfDxf="1" sqref="A363:XFD363" start="0" length="0">
      <dxf>
        <font>
          <name val="Times New Roman"/>
          <scheme val="none"/>
        </font>
        <alignment vertical="center" readingOrder="0"/>
      </dxf>
    </rfmt>
    <rcc rId="0" sId="1" dxf="1">
      <nc r="A363" t="inlineStr">
        <is>
          <t>Мероприятия по организации водоснабжения населения и водоотведения</t>
        </is>
      </nc>
      <ndxf>
        <font>
          <name val="Times New Roman Cyr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18 0 00 83610</t>
        </is>
      </nc>
      <ndxf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363" start="0" length="0">
      <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363">
        <f>D364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>
        <f>E364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>
        <f>F364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 patternType="solid">
            <bgColor theme="0"/>
          </patternFill>
        </fill>
      </dxf>
    </rfmt>
    <rfmt sheetId="1" sqref="H363" start="0" length="0">
      <dxf>
        <fill>
          <patternFill patternType="solid">
            <bgColor theme="0"/>
          </patternFill>
        </fill>
      </dxf>
    </rfmt>
    <rfmt sheetId="1" sqref="I363" start="0" length="0">
      <dxf>
        <fill>
          <patternFill patternType="solid">
            <bgColor theme="0"/>
          </patternFill>
        </fill>
      </dxf>
    </rfmt>
    <rfmt sheetId="1" sqref="J363" start="0" length="0">
      <dxf>
        <fill>
          <patternFill patternType="solid">
            <bgColor theme="0"/>
          </patternFill>
        </fill>
      </dxf>
    </rfmt>
  </rrc>
  <rrc rId="6828" sId="1" ref="A363:XFD363" action="deleteRow">
    <rfmt sheetId="1" xfDxf="1" sqref="A363:XFD363" start="0" length="0">
      <dxf>
        <font>
          <name val="Times New Roman"/>
          <scheme val="none"/>
        </font>
        <alignment vertical="center" readingOrder="0"/>
      </dxf>
    </rfmt>
    <rcc rId="0" sId="1" dxf="1">
      <nc r="A363" t="inlineStr">
        <is>
          <t>Капитальные вложения в объекты государственной (муниципальной) собственности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18 0 00 83610</t>
        </is>
      </nc>
      <ndxf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363">
        <v>400</v>
      </nc>
      <n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363">
        <f>D364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>
        <f>E364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>
        <f>F364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 patternType="solid">
            <bgColor theme="0"/>
          </patternFill>
        </fill>
      </dxf>
    </rfmt>
    <rfmt sheetId="1" sqref="H363" start="0" length="0">
      <dxf>
        <fill>
          <patternFill patternType="solid">
            <bgColor theme="0"/>
          </patternFill>
        </fill>
      </dxf>
    </rfmt>
    <rfmt sheetId="1" sqref="I363" start="0" length="0">
      <dxf>
        <fill>
          <patternFill patternType="solid">
            <bgColor theme="0"/>
          </patternFill>
        </fill>
      </dxf>
    </rfmt>
    <rfmt sheetId="1" sqref="J363" start="0" length="0">
      <dxf>
        <fill>
          <patternFill patternType="solid">
            <bgColor theme="0"/>
          </patternFill>
        </fill>
      </dxf>
    </rfmt>
  </rrc>
  <rrc rId="6829" sId="1" ref="A363:XFD363" action="deleteRow">
    <rfmt sheetId="1" xfDxf="1" sqref="A363:XFD363" start="0" length="0">
      <dxf>
        <font>
          <name val="Times New Roman"/>
          <scheme val="none"/>
        </font>
        <alignment vertical="center" readingOrder="0"/>
      </dxf>
    </rfmt>
    <rcc rId="0" sId="1" dxf="1">
      <nc r="A363" t="inlineStr">
        <is>
          <t>Бюджетные инвестиции</t>
        </is>
      </nc>
      <ndxf>
        <font>
          <name val="Times New Roman Cyr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18 0 00 83610</t>
        </is>
      </nc>
      <ndxf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363">
        <v>410</v>
      </nc>
      <n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363">
        <f>D364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3">
        <f>E364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3">
        <f>F364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3" start="0" length="0">
      <dxf>
        <fill>
          <patternFill patternType="solid">
            <bgColor theme="0"/>
          </patternFill>
        </fill>
      </dxf>
    </rfmt>
    <rfmt sheetId="1" sqref="H363" start="0" length="0">
      <dxf>
        <fill>
          <patternFill patternType="solid">
            <bgColor theme="0"/>
          </patternFill>
        </fill>
      </dxf>
    </rfmt>
    <rfmt sheetId="1" sqref="I363" start="0" length="0">
      <dxf>
        <fill>
          <patternFill patternType="solid">
            <bgColor theme="0"/>
          </patternFill>
        </fill>
      </dxf>
    </rfmt>
    <rfmt sheetId="1" sqref="J363" start="0" length="0">
      <dxf>
        <fill>
          <patternFill patternType="solid">
            <bgColor theme="0"/>
          </patternFill>
        </fill>
      </dxf>
    </rfmt>
  </rrc>
  <rrc rId="6830" sId="1" ref="A363:XFD363" action="deleteRow">
    <rfmt sheetId="1" xfDxf="1" sqref="A363:XFD363" start="0" length="0">
      <dxf>
        <font>
          <name val="Times New Roman"/>
          <scheme val="none"/>
        </font>
        <alignment vertical="center" readingOrder="0"/>
      </dxf>
    </rfmt>
    <rcc rId="0" sId="1" dxf="1">
      <nc r="A363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name val="Times New Roman Cyr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63" t="inlineStr">
        <is>
          <t>18 0 00 83610</t>
        </is>
      </nc>
      <ndxf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363">
        <v>414</v>
      </nc>
      <n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363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36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6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3" start="0" length="0">
      <dxf>
        <fill>
          <patternFill patternType="solid">
            <bgColor theme="0"/>
          </patternFill>
        </fill>
      </dxf>
    </rfmt>
    <rfmt sheetId="1" sqref="H363" start="0" length="0">
      <dxf>
        <fill>
          <patternFill patternType="solid">
            <bgColor theme="0"/>
          </patternFill>
        </fill>
      </dxf>
    </rfmt>
    <rfmt sheetId="1" sqref="I363" start="0" length="0">
      <dxf>
        <fill>
          <patternFill patternType="solid">
            <bgColor theme="0"/>
          </patternFill>
        </fill>
      </dxf>
    </rfmt>
    <rfmt sheetId="1" sqref="J363" start="0" length="0">
      <dxf>
        <fill>
          <patternFill patternType="solid">
            <bgColor theme="0"/>
          </patternFill>
        </fill>
      </dxf>
    </rfmt>
  </rrc>
  <rcc rId="6831" sId="1" numFmtId="34">
    <oc r="D362">
      <f>#REF!+#REF!+#REF!</f>
    </oc>
    <nc r="D362">
      <v>0</v>
    </nc>
  </rcc>
  <rcc rId="6832" sId="1" numFmtId="34">
    <oc r="E362">
      <f>#REF!+#REF!+#REF!</f>
    </oc>
    <nc r="E362">
      <v>0</v>
    </nc>
  </rcc>
  <rcc rId="6833" sId="1" numFmtId="34">
    <oc r="F362">
      <f>#REF!+#REF!+#REF!</f>
    </oc>
    <nc r="F362">
      <v>0</v>
    </nc>
  </rcc>
  <rrc rId="6834" sId="1" ref="A500:XFD500" action="deleteRow">
    <undo index="3" exp="ref" v="1" dr="F500" r="F497" sId="1"/>
    <undo index="3" exp="ref" v="1" dr="E500" r="E497" sId="1"/>
    <undo index="3" exp="ref" v="1" dr="D500" r="D497" sId="1"/>
    <rfmt sheetId="1" xfDxf="1" sqref="A500:XFD500" start="0" length="0">
      <dxf>
        <font>
          <name val="Times New Roman"/>
          <scheme val="none"/>
        </font>
      </dxf>
    </rfmt>
    <rcc rId="0" sId="1" dxf="1">
      <nc r="A500" t="inlineStr">
        <is>
          <t>Закупка товаров, работ и услуг для обеспечения государственных (муниципальных) нужд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500" t="inlineStr">
        <is>
          <t>55 0 00 81400</t>
        </is>
      </nc>
      <n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200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00">
        <f>D501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00">
        <f>E501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00">
        <f>F501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0" start="0" length="0">
      <dxf>
        <fill>
          <patternFill patternType="solid">
            <bgColor theme="0"/>
          </patternFill>
        </fill>
      </dxf>
    </rfmt>
    <rfmt sheetId="1" sqref="H500" start="0" length="0">
      <dxf>
        <fill>
          <patternFill patternType="solid">
            <bgColor theme="0"/>
          </patternFill>
        </fill>
      </dxf>
    </rfmt>
    <rfmt sheetId="1" sqref="I500" start="0" length="0">
      <dxf>
        <fill>
          <patternFill patternType="solid">
            <bgColor theme="0"/>
          </patternFill>
        </fill>
      </dxf>
    </rfmt>
    <rfmt sheetId="1" sqref="J500" start="0" length="0">
      <dxf>
        <fill>
          <patternFill patternType="solid">
            <bgColor theme="0"/>
          </patternFill>
        </fill>
      </dxf>
    </rfmt>
  </rrc>
  <rrc rId="6835" sId="1" ref="A500:XFD500" action="deleteRow">
    <rfmt sheetId="1" xfDxf="1" sqref="A500:XFD500" start="0" length="0">
      <dxf>
        <font>
          <name val="Times New Roman"/>
          <scheme val="none"/>
        </font>
      </dxf>
    </rfmt>
    <rcc rId="0" sId="1" dxf="1">
      <nc r="A500" t="inlineStr">
        <is>
          <t>Иные закупки товаров, работ и услуг для обеспечения государственных (муниципальных) нужд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500" t="inlineStr">
        <is>
          <t>55 0 00 81400</t>
        </is>
      </nc>
      <n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240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00">
        <f>D501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00">
        <f>E501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00">
        <f>F501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0" start="0" length="0">
      <dxf>
        <fill>
          <patternFill patternType="solid">
            <bgColor theme="0"/>
          </patternFill>
        </fill>
      </dxf>
    </rfmt>
    <rfmt sheetId="1" sqref="H500" start="0" length="0">
      <dxf>
        <fill>
          <patternFill patternType="solid">
            <bgColor theme="0"/>
          </patternFill>
        </fill>
      </dxf>
    </rfmt>
    <rfmt sheetId="1" sqref="I500" start="0" length="0">
      <dxf>
        <fill>
          <patternFill patternType="solid">
            <bgColor theme="0"/>
          </patternFill>
        </fill>
      </dxf>
    </rfmt>
    <rfmt sheetId="1" sqref="J500" start="0" length="0">
      <dxf>
        <fill>
          <patternFill patternType="solid">
            <bgColor theme="0"/>
          </patternFill>
        </fill>
      </dxf>
    </rfmt>
  </rrc>
  <rrc rId="6836" sId="1" ref="A500:XFD500" action="deleteRow">
    <rfmt sheetId="1" xfDxf="1" sqref="A500:XFD500" start="0" length="0">
      <dxf>
        <font>
          <name val="Times New Roman"/>
          <scheme val="none"/>
        </font>
      </dxf>
    </rfmt>
    <rcc rId="0" sId="1" dxf="1">
      <nc r="A500" t="inlineStr">
        <is>
          <t>Прочая закупка товаров, работ и услуг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500" t="inlineStr">
        <is>
          <t>55 0 00 81400</t>
        </is>
      </nc>
      <n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244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500">
        <v>0</v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500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00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0" start="0" length="0">
      <dxf>
        <fill>
          <patternFill patternType="solid">
            <bgColor theme="0"/>
          </patternFill>
        </fill>
      </dxf>
    </rfmt>
    <rfmt sheetId="1" sqref="H500" start="0" length="0">
      <dxf>
        <fill>
          <patternFill patternType="solid">
            <bgColor theme="0"/>
          </patternFill>
        </fill>
      </dxf>
    </rfmt>
    <rfmt sheetId="1" sqref="I500" start="0" length="0">
      <dxf>
        <fill>
          <patternFill patternType="solid">
            <bgColor theme="0"/>
          </patternFill>
        </fill>
      </dxf>
    </rfmt>
    <rfmt sheetId="1" sqref="J500" start="0" length="0">
      <dxf>
        <fill>
          <patternFill patternType="solid">
            <bgColor theme="0"/>
          </patternFill>
        </fill>
      </dxf>
    </rfmt>
  </rrc>
  <rrc rId="6837" sId="1" ref="A500:XFD500" action="deleteRow">
    <undo index="1" exp="ref" v="1" dr="F500" r="F497" sId="1"/>
    <undo index="1" exp="ref" v="1" dr="E500" r="E497" sId="1"/>
    <undo index="1" exp="ref" v="1" dr="D500" r="D497" sId="1"/>
    <rfmt sheetId="1" xfDxf="1" sqref="A500:XFD500" start="0" length="0">
      <dxf>
        <font>
          <name val="Times New Roman"/>
          <scheme val="none"/>
        </font>
      </dxf>
    </rfmt>
    <rcc rId="0" sId="1" dxf="1">
      <nc r="A500" t="inlineStr">
        <is>
          <t>Социальное обеспечение и иные выплаты населению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500" t="inlineStr">
        <is>
          <t>55 0 00 81400</t>
        </is>
      </nc>
      <n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>
        <v>300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00">
        <f>D501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00">
        <f>E501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00">
        <f>F501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0" start="0" length="0">
      <dxf>
        <fill>
          <patternFill patternType="solid">
            <bgColor theme="0"/>
          </patternFill>
        </fill>
      </dxf>
    </rfmt>
    <rfmt sheetId="1" sqref="H500" start="0" length="0">
      <dxf>
        <fill>
          <patternFill patternType="solid">
            <bgColor theme="0"/>
          </patternFill>
        </fill>
      </dxf>
    </rfmt>
    <rfmt sheetId="1" sqref="I500" start="0" length="0">
      <dxf>
        <fill>
          <patternFill patternType="solid">
            <bgColor theme="0"/>
          </patternFill>
        </fill>
      </dxf>
    </rfmt>
    <rfmt sheetId="1" sqref="J500" start="0" length="0">
      <dxf>
        <fill>
          <patternFill patternType="solid">
            <bgColor theme="0"/>
          </patternFill>
        </fill>
      </dxf>
    </rfmt>
  </rrc>
  <rrc rId="6838" sId="1" ref="A500:XFD500" action="deleteRow">
    <rfmt sheetId="1" xfDxf="1" sqref="A500:XFD500" start="0" length="0">
      <dxf>
        <font>
          <name val="Times New Roman"/>
          <scheme val="none"/>
        </font>
      </dxf>
    </rfmt>
    <rcc rId="0" sId="1" dxf="1">
      <nc r="A500" t="inlineStr">
        <is>
          <t>Социальные выплаты гражданам, кроме публичных нормативных социальных выплат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500" t="inlineStr">
        <is>
          <t>55 0 00 81400</t>
        </is>
      </nc>
      <n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>
        <v>320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500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34">
      <nc r="E500">
        <v>0</v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500">
        <v>0</v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0" start="0" length="0">
      <dxf>
        <fill>
          <patternFill patternType="solid">
            <bgColor theme="0"/>
          </patternFill>
        </fill>
      </dxf>
    </rfmt>
    <rfmt sheetId="1" sqref="H500" start="0" length="0">
      <dxf>
        <fill>
          <patternFill patternType="solid">
            <bgColor theme="0"/>
          </patternFill>
        </fill>
      </dxf>
    </rfmt>
    <rfmt sheetId="1" sqref="I500" start="0" length="0">
      <dxf>
        <fill>
          <patternFill patternType="solid">
            <bgColor theme="0"/>
          </patternFill>
        </fill>
      </dxf>
    </rfmt>
    <rfmt sheetId="1" sqref="J500" start="0" length="0">
      <dxf>
        <fill>
          <patternFill patternType="solid">
            <bgColor theme="0"/>
          </patternFill>
        </fill>
      </dxf>
    </rfmt>
  </rrc>
  <rcc rId="6839" sId="1">
    <oc r="D497">
      <f>D498+#REF!+#REF!</f>
    </oc>
    <nc r="D497">
      <f>D498</f>
    </nc>
  </rcc>
  <rcc rId="6840" sId="1">
    <oc r="E497">
      <f>E498+#REF!+#REF!</f>
    </oc>
    <nc r="E497">
      <f>E498</f>
    </nc>
  </rcc>
  <rcc rId="6841" sId="1">
    <oc r="F497">
      <f>F498+#REF!+#REF!</f>
    </oc>
    <nc r="F497">
      <f>F498</f>
    </nc>
  </rcc>
  <rcc rId="6842" sId="1" odxf="1" dxf="1">
    <oc r="A561" t="inlineStr">
      <is>
        <t>Возмещение убытков ООО "Трест Техносервис", связанных с оказанием банных услуг на территории пос.Обозерский по тарифам, не обеспечивающим возмещение издержек</t>
      </is>
    </oc>
    <nc r="A561" t="inlineStr">
      <is>
        <t>Возмещение убытков ООО "Трест Техносервис", связанных с оказанием банных услуг на территории пос.Обозерский по тарифам, не обеспечивающим возмещение издержек в 2025 году</t>
      </is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7" tint="0.39997558519241921"/>
        </patternFill>
      </fill>
      <alignment wrapText="1" readingOrder="0"/>
    </ndxf>
  </rcc>
  <rfmt sheetId="1" sqref="A561">
    <dxf>
      <fill>
        <patternFill patternType="none">
          <bgColor auto="1"/>
        </patternFill>
      </fill>
    </dxf>
  </rfmt>
  <rcc rId="6843" sId="1" odxf="1" dxf="1">
    <oc r="A565" t="inlineStr">
      <is>
        <t>Возмещение убытков МУП "Плесецк-Ресурс", связанных с оказанием банных услуг на территории пос.Плесецк по тарифам, не обеспечивающим возмещение издержек</t>
      </is>
    </oc>
    <nc r="A565" t="inlineStr">
      <is>
        <t>Возмещение убытков МУП "Плесецк-Ресурс", связанных с оказанием банных услуг на территории пос.Плесецк по тарифам, не обеспечивающим возмещение издержек в 2025 году</t>
      </is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7" tint="0.39997558519241921"/>
        </patternFill>
      </fill>
      <alignment wrapText="1" readingOrder="0"/>
    </ndxf>
  </rcc>
  <rfmt sheetId="1" sqref="A565">
    <dxf>
      <fill>
        <patternFill patternType="none">
          <bgColor auto="1"/>
        </patternFill>
      </fill>
    </dxf>
  </rfmt>
  <rrc rId="6844" sId="1" ref="A571:XFD571" action="deleteRow">
    <undo index="1" exp="ref" v="1" dr="F571" r="F570" sId="1"/>
    <undo index="1" exp="ref" v="1" dr="E571" r="E570" sId="1"/>
    <undo index="1" exp="ref" v="1" dr="D571" r="D570" sId="1"/>
    <rfmt sheetId="1" xfDxf="1" sqref="A571:XFD571" start="0" length="0">
      <dxf>
        <font>
          <name val="Times New Roman"/>
          <scheme val="none"/>
        </font>
        <fill>
          <patternFill patternType="solid">
            <bgColor theme="5" tint="0.39997558519241921"/>
          </patternFill>
        </fill>
      </dxf>
    </rfmt>
    <rcc rId="0" sId="1" dxf="1">
      <nc r="A571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1" t="inlineStr">
        <is>
          <t>60 0 00 80020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71">
        <v>200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71">
        <f>D572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71">
        <f>E572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71">
        <f>F572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1" start="0" length="0">
      <dxf>
        <fill>
          <patternFill>
            <bgColor theme="0"/>
          </patternFill>
        </fill>
      </dxf>
    </rfmt>
    <rfmt sheetId="1" sqref="H571" start="0" length="0">
      <dxf>
        <fill>
          <patternFill>
            <bgColor theme="0"/>
          </patternFill>
        </fill>
      </dxf>
    </rfmt>
    <rfmt sheetId="1" sqref="I571" start="0" length="0">
      <dxf>
        <fill>
          <patternFill>
            <bgColor theme="0"/>
          </patternFill>
        </fill>
      </dxf>
    </rfmt>
    <rfmt sheetId="1" sqref="J571" start="0" length="0">
      <dxf>
        <fill>
          <patternFill>
            <bgColor theme="0"/>
          </patternFill>
        </fill>
      </dxf>
    </rfmt>
  </rrc>
  <rrc rId="6845" sId="1" ref="A571:XFD571" action="deleteRow">
    <rfmt sheetId="1" xfDxf="1" sqref="A571:XFD571" start="0" length="0">
      <dxf>
        <font>
          <name val="Times New Roman"/>
          <scheme val="none"/>
        </font>
        <fill>
          <patternFill patternType="solid">
            <bgColor theme="5" tint="0.39997558519241921"/>
          </patternFill>
        </fill>
      </dxf>
    </rfmt>
    <rcc rId="0" sId="1" dxf="1">
      <nc r="A571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1" t="inlineStr">
        <is>
          <t>60 0 00 80020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71">
        <v>240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71">
        <f>D572+D573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71">
        <f>E572+E573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71">
        <f>F572+F573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1" start="0" length="0">
      <dxf>
        <fill>
          <patternFill>
            <bgColor theme="0"/>
          </patternFill>
        </fill>
      </dxf>
    </rfmt>
    <rfmt sheetId="1" sqref="H571" start="0" length="0">
      <dxf>
        <fill>
          <patternFill>
            <bgColor theme="0"/>
          </patternFill>
        </fill>
      </dxf>
    </rfmt>
    <rfmt sheetId="1" sqref="I571" start="0" length="0">
      <dxf>
        <fill>
          <patternFill>
            <bgColor theme="0"/>
          </patternFill>
        </fill>
      </dxf>
    </rfmt>
    <rfmt sheetId="1" sqref="J571" start="0" length="0">
      <dxf>
        <fill>
          <patternFill>
            <bgColor theme="0"/>
          </patternFill>
        </fill>
      </dxf>
    </rfmt>
  </rrc>
  <rrc rId="6846" sId="1" ref="A571:XFD571" action="deleteRow">
    <rfmt sheetId="1" xfDxf="1" sqref="A571:XFD571" start="0" length="0">
      <dxf>
        <font>
          <name val="Times New Roman"/>
          <scheme val="none"/>
        </font>
        <fill>
          <patternFill patternType="solid">
            <bgColor theme="5" tint="0.39997558519241921"/>
          </patternFill>
        </fill>
      </dxf>
    </rfmt>
    <rcc rId="0" sId="1" dxf="1">
      <nc r="A571" t="inlineStr">
        <is>
          <t xml:space="preserve">Прочая закупка товаров, работ и услуг 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1" t="inlineStr">
        <is>
          <t>60 0 00 80020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71">
        <v>244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D57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57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7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1" start="0" length="0">
      <dxf>
        <fill>
          <patternFill>
            <bgColor theme="0"/>
          </patternFill>
        </fill>
      </dxf>
    </rfmt>
    <rfmt sheetId="1" sqref="H571" start="0" length="0">
      <dxf>
        <fill>
          <patternFill>
            <bgColor theme="0"/>
          </patternFill>
        </fill>
      </dxf>
    </rfmt>
    <rfmt sheetId="1" sqref="I571" start="0" length="0">
      <dxf>
        <fill>
          <patternFill>
            <bgColor theme="0"/>
          </patternFill>
        </fill>
      </dxf>
    </rfmt>
    <rfmt sheetId="1" sqref="J571" start="0" length="0">
      <dxf>
        <fill>
          <patternFill>
            <bgColor theme="0"/>
          </patternFill>
        </fill>
      </dxf>
    </rfmt>
  </rrc>
  <rrc rId="6847" sId="1" ref="A571:XFD571" action="deleteRow">
    <rfmt sheetId="1" xfDxf="1" sqref="A571:XFD571" start="0" length="0">
      <dxf>
        <font>
          <name val="Times New Roman"/>
          <scheme val="none"/>
        </font>
        <fill>
          <patternFill patternType="solid">
            <bgColor theme="5" tint="0.39997558519241921"/>
          </patternFill>
        </fill>
      </dxf>
    </rfmt>
    <rcc rId="0" sId="1" dxf="1">
      <nc r="A571" t="inlineStr">
        <is>
          <t>Закупка энергетических ресурсов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1" t="inlineStr">
        <is>
          <t>60 0 00 80020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71">
        <v>247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D57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57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7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1" start="0" length="0">
      <dxf>
        <fill>
          <patternFill>
            <bgColor theme="0"/>
          </patternFill>
        </fill>
      </dxf>
    </rfmt>
    <rfmt sheetId="1" sqref="H571" start="0" length="0">
      <dxf>
        <fill>
          <patternFill>
            <bgColor theme="0"/>
          </patternFill>
        </fill>
      </dxf>
    </rfmt>
    <rfmt sheetId="1" sqref="I571" start="0" length="0">
      <dxf>
        <fill>
          <patternFill>
            <bgColor theme="0"/>
          </patternFill>
        </fill>
      </dxf>
    </rfmt>
    <rfmt sheetId="1" sqref="J571" start="0" length="0">
      <dxf>
        <fill>
          <patternFill>
            <bgColor theme="0"/>
          </patternFill>
        </fill>
      </dxf>
    </rfmt>
  </rrc>
  <rcc rId="6848" sId="1">
    <oc r="D570">
      <f>D571+#REF!</f>
    </oc>
    <nc r="D570">
      <f>D571</f>
    </nc>
  </rcc>
  <rrc rId="6849" sId="1" ref="A574:XFD574" action="deleteRow">
    <undo index="1" exp="ref" v="1" dr="F574" r="F571" sId="1"/>
    <undo index="1" exp="ref" v="1" dr="E574" r="E571" sId="1"/>
    <undo index="1" exp="ref" v="1" dr="D574" r="D571" sId="1"/>
    <rfmt sheetId="1" xfDxf="1" sqref="A574:XFD574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cc rId="0" sId="1" dxf="1">
      <nc r="A574" t="inlineStr">
        <is>
          <t>Уплата налогов, сборов и иных платежей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4" t="inlineStr">
        <is>
          <t>60 0 00 80020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74" t="inlineStr">
        <is>
          <t>850</t>
        </is>
      </nc>
      <ndxf>
        <numFmt numFmtId="30" formatCode="@"/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574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74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574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4" start="0" length="0">
      <dxf>
        <fill>
          <patternFill>
            <bgColor theme="0"/>
          </patternFill>
        </fill>
      </dxf>
    </rfmt>
    <rfmt sheetId="1" sqref="H574" start="0" length="0">
      <dxf>
        <fill>
          <patternFill>
            <bgColor theme="0"/>
          </patternFill>
        </fill>
      </dxf>
    </rfmt>
    <rfmt sheetId="1" sqref="I574" start="0" length="0">
      <dxf>
        <fill>
          <patternFill>
            <bgColor theme="0"/>
          </patternFill>
        </fill>
      </dxf>
    </rfmt>
    <rfmt sheetId="1" sqref="J574" start="0" length="0">
      <dxf>
        <fill>
          <patternFill>
            <bgColor theme="0"/>
          </patternFill>
        </fill>
      </dxf>
    </rfmt>
  </rrc>
  <rcc rId="6850" sId="1">
    <oc r="D571">
      <f>D572+#REF!</f>
    </oc>
    <nc r="D571">
      <f>D572</f>
    </nc>
  </rcc>
  <rcc rId="6851" sId="1">
    <oc r="E570">
      <f>E571+#REF!</f>
    </oc>
    <nc r="E570">
      <f>E571</f>
    </nc>
  </rcc>
  <rcc rId="6852" sId="1">
    <oc r="F570">
      <f>F571+#REF!</f>
    </oc>
    <nc r="F570">
      <f>F571</f>
    </nc>
  </rcc>
  <rcc rId="6853" sId="1">
    <oc r="E571">
      <f>E572+#REF!</f>
    </oc>
    <nc r="E571">
      <f>E572</f>
    </nc>
  </rcc>
  <rcc rId="6854" sId="1">
    <oc r="F571">
      <f>F572+#REF!</f>
    </oc>
    <nc r="F571">
      <f>F572</f>
    </nc>
  </rcc>
  <rrc rId="6855" sId="1" ref="A587:XFD587" action="deleteRow">
    <undo index="1" exp="ref" v="1" dr="F587" r="F575" sId="1"/>
    <undo index="1" exp="ref" v="1" dr="E587" r="E575" sId="1"/>
    <undo index="1" exp="ref" v="1" dr="D587" r="D575" sId="1"/>
    <rfmt sheetId="1" xfDxf="1" sqref="A587:XFD587" start="0" length="0">
      <dxf>
        <font>
          <name val="Times New Roman"/>
          <scheme val="none"/>
        </font>
      </dxf>
    </rfmt>
    <rcc rId="0" sId="1" dxf="1">
      <nc r="A587" t="inlineStr">
        <is>
      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87" t="inlineStr">
        <is>
          <t>61 1 00 Л8771</t>
        </is>
      </nc>
      <ndxf>
        <numFmt numFmtId="30" formatCode="@"/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58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587">
        <f>D588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587">
        <f>E588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587">
        <f>F588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587" start="0" length="0">
      <dxf>
        <fill>
          <patternFill patternType="solid">
            <bgColor theme="0"/>
          </patternFill>
        </fill>
      </dxf>
    </rfmt>
    <rfmt sheetId="1" sqref="H587" start="0" length="0">
      <dxf>
        <fill>
          <patternFill patternType="solid">
            <bgColor theme="0"/>
          </patternFill>
        </fill>
      </dxf>
    </rfmt>
    <rfmt sheetId="1" sqref="I587" start="0" length="0">
      <dxf>
        <fill>
          <patternFill patternType="solid">
            <bgColor theme="0"/>
          </patternFill>
        </fill>
      </dxf>
    </rfmt>
    <rfmt sheetId="1" sqref="J587" start="0" length="0">
      <dxf>
        <fill>
          <patternFill patternType="solid">
            <bgColor theme="0"/>
          </patternFill>
        </fill>
      </dxf>
    </rfmt>
  </rrc>
  <rrc rId="6856" sId="1" ref="A587:XFD587" action="deleteRow">
    <rfmt sheetId="1" xfDxf="1" sqref="A587:XFD587" start="0" length="0">
      <dxf>
        <font>
          <name val="Times New Roman"/>
          <scheme val="none"/>
        </font>
      </dxf>
    </rfmt>
    <rcc rId="0" sId="1" dxf="1">
      <nc r="A587" t="inlineStr">
        <is>
          <t>Социальное обеспечение и иные выплаты населению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87" t="inlineStr">
        <is>
          <t>61 1 00 Л8771</t>
        </is>
      </nc>
      <ndxf>
        <numFmt numFmtId="30" formatCode="@"/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300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87">
        <f>D589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587">
        <f>E589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587">
        <f>F589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587" start="0" length="0">
      <dxf>
        <fill>
          <patternFill patternType="solid">
            <bgColor theme="0"/>
          </patternFill>
        </fill>
      </dxf>
    </rfmt>
    <rfmt sheetId="1" sqref="H587" start="0" length="0">
      <dxf>
        <fill>
          <patternFill patternType="solid">
            <bgColor theme="0"/>
          </patternFill>
        </fill>
      </dxf>
    </rfmt>
    <rfmt sheetId="1" sqref="I587" start="0" length="0">
      <dxf>
        <fill>
          <patternFill patternType="solid">
            <bgColor theme="0"/>
          </patternFill>
        </fill>
      </dxf>
    </rfmt>
    <rfmt sheetId="1" sqref="J587" start="0" length="0">
      <dxf>
        <fill>
          <patternFill patternType="solid">
            <bgColor theme="0"/>
          </patternFill>
        </fill>
      </dxf>
    </rfmt>
  </rrc>
  <rrc rId="6857" sId="1" ref="A587:XFD587" action="deleteRow">
    <rfmt sheetId="1" xfDxf="1" sqref="A587:XFD587" start="0" length="0">
      <dxf>
        <font>
          <name val="Times New Roman"/>
          <scheme val="none"/>
        </font>
      </dxf>
    </rfmt>
    <rcc rId="0" sId="1" dxf="1">
      <nc r="A587" t="inlineStr">
        <is>
          <t>Социальные выплаты гражданам, кроме публичных нормативных социальных выплат</t>
        </is>
      </nc>
      <ndxf>
        <alignment horizontal="justify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61 1 00 Л8771</t>
        </is>
      </nc>
      <ndxf>
        <numFmt numFmtId="30" formatCode="@"/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320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87">
        <f>D588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587">
        <f>E588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587">
        <f>F588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587" start="0" length="0">
      <dxf>
        <fill>
          <patternFill patternType="solid">
            <bgColor theme="0"/>
          </patternFill>
        </fill>
      </dxf>
    </rfmt>
    <rfmt sheetId="1" sqref="H587" start="0" length="0">
      <dxf>
        <fill>
          <patternFill patternType="solid">
            <bgColor theme="0"/>
          </patternFill>
        </fill>
      </dxf>
    </rfmt>
    <rfmt sheetId="1" sqref="I587" start="0" length="0">
      <dxf>
        <fill>
          <patternFill patternType="solid">
            <bgColor theme="0"/>
          </patternFill>
        </fill>
      </dxf>
    </rfmt>
    <rfmt sheetId="1" sqref="J587" start="0" length="0">
      <dxf>
        <fill>
          <patternFill patternType="solid">
            <bgColor theme="0"/>
          </patternFill>
        </fill>
      </dxf>
    </rfmt>
  </rrc>
  <rrc rId="6858" sId="1" ref="A587:XFD587" action="deleteRow">
    <rfmt sheetId="1" xfDxf="1" sqref="A587:XFD587" start="0" length="0">
      <dxf>
        <font>
          <name val="Times New Roman"/>
          <scheme val="none"/>
        </font>
      </dxf>
    </rfmt>
    <rcc rId="0" sId="1" dxf="1">
      <nc r="A587" t="inlineStr">
        <is>
          <t xml:space="preserve">Субсидии гражданам на приобретение жилья </t>
        </is>
      </nc>
      <ndxf>
        <alignment horizontal="justify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61 1 00 Л8771</t>
        </is>
      </nc>
      <ndxf>
        <numFmt numFmtId="30" formatCode="@"/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322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587">
        <v>0</v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E587">
        <v>0</v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F587">
        <v>0</v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587" start="0" length="0">
      <dxf>
        <fill>
          <patternFill patternType="solid">
            <bgColor theme="0"/>
          </patternFill>
        </fill>
      </dxf>
    </rfmt>
    <rfmt sheetId="1" sqref="H587" start="0" length="0">
      <dxf>
        <fill>
          <patternFill patternType="solid">
            <bgColor theme="0"/>
          </patternFill>
        </fill>
      </dxf>
    </rfmt>
    <rfmt sheetId="1" sqref="I587" start="0" length="0">
      <dxf>
        <fill>
          <patternFill patternType="solid">
            <bgColor theme="0"/>
          </patternFill>
        </fill>
      </dxf>
    </rfmt>
    <rfmt sheetId="1" sqref="J587" start="0" length="0">
      <dxf>
        <fill>
          <patternFill patternType="solid">
            <bgColor theme="0"/>
          </patternFill>
        </fill>
      </dxf>
    </rfmt>
  </rrc>
  <rcc rId="6859" sId="1">
    <oc r="D575">
      <f>D580+#REF!+D576</f>
    </oc>
    <nc r="D575">
      <f>D580+D576</f>
    </nc>
  </rcc>
  <rcc rId="6860" sId="1">
    <oc r="E575">
      <f>E580+#REF!+E576</f>
    </oc>
    <nc r="E575">
      <f>E580+E576</f>
    </nc>
  </rcc>
  <rcc rId="6861" sId="1">
    <oc r="F575">
      <f>F580+#REF!+F576</f>
    </oc>
    <nc r="F575">
      <f>F580+F576</f>
    </nc>
  </rcc>
  <rrc rId="6862" sId="1" ref="A631:XFD631" action="deleteRow">
    <undo index="3" exp="ref" v="1" dr="F631" r="F630" sId="1"/>
    <undo index="3" exp="ref" v="1" dr="E631" r="E630" sId="1"/>
    <undo index="3" exp="ref" v="1" dr="D631" r="D630" sId="1"/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31" t="inlineStr">
        <is>
          <t>Развитие инициативных проектов в рамках регионального проекта "Комфортное Поморье"ого бюджета)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Э8890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31" start="0" length="0">
      <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631">
        <f>D636+D632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E636+E632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F636+F632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63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31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Э8890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>
        <v>200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64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31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Э8890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>
        <v>240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D633+D632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E633+E632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F633+F632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65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31" t="inlineStr">
        <is>
          <t>Закупка товаров, работ, услуг в целях капитального
ремонта государственного (муниципального) имущества</t>
        </is>
      </nc>
      <ndxf>
        <fill>
          <patternFill patternType="none">
            <bgColor indexed="65"/>
          </patternFill>
        </fill>
        <alignment horizontal="justify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Э8890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>
        <v>243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66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31" t="inlineStr">
        <is>
          <t>Прочая закупка товаров, работ и услуг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Э8890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>
        <v>244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67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31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Э8890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>
        <v>600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68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31" t="inlineStr">
        <is>
          <t>Субсидии бюджетным учреждениям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Э8890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>
        <v>610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69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31" t="inlineStr">
        <is>
          <t>Субсидии бюджетным учреждениям на иные цели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Э8890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>
        <v>612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70" sId="1" ref="A631:XFD631" action="deleteRow">
    <undo index="0" exp="ref" v="1" dr="F631" r="F630" sId="1"/>
    <undo index="0" exp="ref" v="1" dr="E631" r="E630" sId="1"/>
    <undo index="0" exp="ref" v="1" dr="D631" r="D630" sId="1"/>
    <rfmt sheetId="1" xfDxf="1" sqref="A631:XFD631" start="0" length="0">
      <dxf>
        <font>
          <name val="Times New Roman"/>
          <scheme val="none"/>
        </font>
      </dxf>
    </rfmt>
    <rcc rId="0" sId="1" s="1" dxf="1">
      <nc r="A631" t="inlineStr">
        <is>
          <t>Развитие инициативных проектов в рамках регионального проекта "Комфортное Поморье"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S8890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3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631">
        <f>D639+D636+D632</f>
      </nc>
      <ndxf>
        <numFmt numFmtId="164" formatCode="_-* #,##0.00_р_._-;\-* #,##0.00_р_._-;_-* &quot;-&quot;??_р_._-;_-@_-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E639+E636+E632</f>
      </nc>
      <ndxf>
        <numFmt numFmtId="164" formatCode="_-* #,##0.00_р_._-;\-* #,##0.00_р_._-;_-* &quot;-&quot;??_р_._-;_-@_-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F639+F636+F632</f>
      </nc>
      <ndxf>
        <numFmt numFmtId="164" formatCode="_-* #,##0.00_р_._-;\-* #,##0.00_р_._-;_-* &quot;-&quot;??_р_._-;_-@_-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 patternType="solid">
            <bgColor theme="0"/>
          </patternFill>
        </fill>
      </dxf>
    </rfmt>
    <rfmt sheetId="1" sqref="H631" start="0" length="0">
      <dxf>
        <fill>
          <patternFill patternType="solid">
            <bgColor theme="0"/>
          </patternFill>
        </fill>
      </dxf>
    </rfmt>
    <rfmt sheetId="1" sqref="I631" start="0" length="0">
      <dxf>
        <fill>
          <patternFill patternType="solid">
            <bgColor theme="0"/>
          </patternFill>
        </fill>
      </dxf>
    </rfmt>
    <rfmt sheetId="1" sqref="J631" start="0" length="0">
      <dxf>
        <fill>
          <patternFill patternType="solid">
            <bgColor theme="0"/>
          </patternFill>
        </fill>
      </dxf>
    </rfmt>
  </rrc>
  <rrc rId="6871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s="1" dxf="1">
      <nc r="A631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S8890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 t="inlineStr">
        <is>
          <t>200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72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s="1" dxf="1">
      <nc r="A631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S8890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 t="inlineStr">
        <is>
          <t>240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D633+D632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E633+E632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F633+F632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73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s="1" dxf="1">
      <nc r="A631" t="inlineStr">
        <is>
          <t>Закупка товаров, работ, услуг в целях капитального
ремонта государственного (муниципального) имущества</t>
        </is>
      </nc>
      <ndxf>
        <fill>
          <patternFill patternType="none">
            <bgColor indexed="65"/>
          </patternFill>
        </fill>
        <alignment horizontal="justify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S8890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>
        <v>243</v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74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s="1" dxf="1">
      <nc r="A631" t="inlineStr">
        <is>
          <t>Прочая закупка товаров, работ и услуг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S8890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 t="inlineStr">
        <is>
          <t>244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5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s="1" dxf="1">
      <nc r="A631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S8890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 t="inlineStr">
        <is>
          <t>600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76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s="1" dxf="1">
      <nc r="A631" t="inlineStr">
        <is>
          <t>Субсидии бюджетным учреждениям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S8890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 t="inlineStr">
        <is>
          <t>610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77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s="1" dxf="1">
      <nc r="A631" t="inlineStr">
        <is>
          <t>Субсидии бюджетным учреждениям на иные цели</t>
        </is>
      </nc>
      <ndxf>
        <fill>
          <patternFill patternType="none">
            <bgColor indexed="65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S8890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 t="inlineStr">
        <is>
          <t>612</t>
        </is>
      </nc>
      <ndxf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7" formatCode="_(* #,##0.00_);_(* \(#,##0.00\);_(* &quot;-&quot;??_);_(@_)"/>
        <fill>
          <patternFill patternType="none">
            <bgColor indexed="65"/>
          </patternFill>
        </fill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78" sId="1" ref="A631:XFD631" action="deleteRow">
    <rfmt sheetId="1" xfDxf="1" sqref="A631:XFD631" start="0" length="0">
      <dxf>
        <font>
          <name val="Times New Roman"/>
          <scheme val="none"/>
        </font>
        <alignment vertical="center" readingOrder="0"/>
      </dxf>
    </rfmt>
    <rcc rId="0" sId="1" dxf="1">
      <nc r="A631" t="inlineStr">
        <is>
          <t>Иные бюджетные ассигнования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S8890</t>
        </is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>
        <v>800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 patternType="solid">
            <bgColor theme="0"/>
          </patternFill>
        </fill>
      </dxf>
    </rfmt>
    <rfmt sheetId="1" sqref="H631" start="0" length="0">
      <dxf>
        <fill>
          <patternFill patternType="solid">
            <bgColor theme="0"/>
          </patternFill>
        </fill>
      </dxf>
    </rfmt>
    <rfmt sheetId="1" sqref="I631" start="0" length="0">
      <dxf>
        <fill>
          <patternFill patternType="solid">
            <bgColor theme="0"/>
          </patternFill>
        </fill>
      </dxf>
    </rfmt>
    <rfmt sheetId="1" sqref="J631" start="0" length="0">
      <dxf>
        <fill>
          <patternFill patternType="solid">
            <bgColor theme="0"/>
          </patternFill>
        </fill>
      </dxf>
    </rfmt>
  </rrc>
  <rrc rId="6879" sId="1" ref="A631:XFD631" action="deleteRow">
    <rfmt sheetId="1" xfDxf="1" sqref="A631:XFD631" start="0" length="0">
      <dxf>
        <font>
          <name val="Times New Roman"/>
          <scheme val="none"/>
        </font>
        <alignment vertical="center" readingOrder="0"/>
      </dxf>
    </rfmt>
    <rcc rId="0" sId="1" dxf="1">
      <nc r="A631" t="inlineStr">
        <is>
          <t>Резервные средства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S8890</t>
        </is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 t="inlineStr">
        <is>
          <t>870</t>
        </is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631">
        <v>0</v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631">
        <v>0</v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 patternType="solid">
            <bgColor theme="0"/>
          </patternFill>
        </fill>
      </dxf>
    </rfmt>
    <rfmt sheetId="1" sqref="H631" start="0" length="0">
      <dxf>
        <fill>
          <patternFill patternType="solid">
            <bgColor theme="0"/>
          </patternFill>
        </fill>
      </dxf>
    </rfmt>
    <rfmt sheetId="1" sqref="I631" start="0" length="0">
      <dxf>
        <fill>
          <patternFill patternType="solid">
            <bgColor theme="0"/>
          </patternFill>
        </fill>
      </dxf>
    </rfmt>
    <rfmt sheetId="1" sqref="J631" start="0" length="0">
      <dxf>
        <fill>
          <patternFill patternType="solid">
            <bgColor theme="0"/>
          </patternFill>
        </fill>
      </dxf>
    </rfmt>
  </rrc>
  <rrc rId="6880" sId="1" ref="A631:XFD631" action="deleteRow">
    <undo index="1" exp="ref" v="1" dr="F631" r="F630" sId="1"/>
    <undo index="1" exp="ref" v="1" dr="E631" r="E630" sId="1"/>
    <undo index="1" exp="ref" v="1" dr="D631" r="D630" sId="1"/>
    <rfmt sheetId="1" xfDxf="1" sqref="A631:XFD631" start="0" length="0">
      <dxf>
        <font>
          <name val="Times New Roman"/>
          <scheme val="none"/>
        </font>
        <alignment vertical="center" readingOrder="0"/>
      </dxf>
    </rfmt>
    <rcc rId="0" sId="1" dxf="1">
      <nc r="A631" t="inlineStr">
        <is>
          <t xml:space="preserve">Софинансирование к иным межбюджетным трансфертам на развитие  инициативных проектов 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31" t="inlineStr">
        <is>
          <t>67 0 00 88890</t>
        </is>
      </nc>
      <ndxf>
        <numFmt numFmtId="30" formatCode="@"/>
        <alignment horizontal="center" readingOrder="0"/>
        <border outline="0">
          <bottom style="thin">
            <color indexed="64"/>
          </bottom>
        </border>
      </ndxf>
    </rcc>
    <rfmt sheetId="1" sqref="C631" start="0" length="0">
      <dxf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s="1" dxf="1">
      <nc r="D631">
        <f>D639+D636+D632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E639+E636+E632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F639+F636+F632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 patternType="solid">
            <bgColor theme="0"/>
          </patternFill>
        </fill>
      </dxf>
    </rfmt>
    <rfmt sheetId="1" sqref="H631" start="0" length="0">
      <dxf>
        <fill>
          <patternFill patternType="solid">
            <bgColor theme="0"/>
          </patternFill>
        </fill>
      </dxf>
    </rfmt>
    <rfmt sheetId="1" sqref="I631" start="0" length="0">
      <dxf>
        <fill>
          <patternFill patternType="solid">
            <bgColor theme="0"/>
          </patternFill>
        </fill>
      </dxf>
    </rfmt>
    <rfmt sheetId="1" sqref="J631" start="0" length="0">
      <dxf>
        <fill>
          <patternFill patternType="solid">
            <bgColor theme="0"/>
          </patternFill>
        </fill>
      </dxf>
    </rfmt>
  </rrc>
  <rrc rId="6881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31" t="inlineStr">
        <is>
          <t>67 0 00 88890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dxf="1">
      <nc r="C631" t="inlineStr">
        <is>
          <t>200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82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31" t="inlineStr">
        <is>
          <t>67 0 00 88890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dxf="1">
      <nc r="C631" t="inlineStr">
        <is>
          <t>240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D633+D632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E633+E632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F633+F632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83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Закупка товаров, работ, услуг в целях капитального
ремонта государственного (муниципального) имущества</t>
        </is>
      </nc>
      <ndxf>
        <fill>
          <patternFill patternType="none">
            <bgColor indexed="65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31" t="inlineStr">
        <is>
          <t>67 0 00 88890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dxf="1">
      <nc r="C631">
        <v>243</v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84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Прочая закупка товаров, работ и услуг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31" t="inlineStr">
        <is>
          <t>67 0 00 88890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dxf="1">
      <nc r="C631" t="inlineStr">
        <is>
          <t>244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85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31" t="inlineStr">
        <is>
          <t>67 0 00 88890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dxf="1">
      <nc r="C631" t="inlineStr">
        <is>
          <t>600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86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Субсидии бюджетным учреждениям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31" t="inlineStr">
        <is>
          <t>67 0 00 88890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dxf="1">
      <nc r="C631" t="inlineStr">
        <is>
          <t>610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87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Субсидии бюджетным учреждениям на иные цели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31" t="inlineStr">
        <is>
          <t>67 0 00 88890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dxf="1">
      <nc r="C631" t="inlineStr">
        <is>
          <t>612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88" sId="1" ref="A631:XFD631" action="deleteRow">
    <rfmt sheetId="1" xfDxf="1" sqref="A631:XFD631" start="0" length="0">
      <dxf>
        <font>
          <name val="Times New Roman"/>
          <scheme val="none"/>
        </font>
        <alignment vertical="center" readingOrder="0"/>
      </dxf>
    </rfmt>
    <rcc rId="0" sId="1" dxf="1">
      <nc r="A631" t="inlineStr">
        <is>
          <t>Иные бюджетные ассигнования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31" t="inlineStr">
        <is>
          <t>67 0 00 88890</t>
        </is>
      </nc>
      <ndxf>
        <numFmt numFmtId="30" formatCode="@"/>
        <alignment horizontal="center" readingOrder="0"/>
        <border outline="0">
          <bottom style="thin">
            <color indexed="64"/>
          </bottom>
        </border>
      </ndxf>
    </rcc>
    <rcc rId="0" sId="1" dxf="1">
      <nc r="C631">
        <v>800</v>
      </nc>
      <ndxf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 patternType="solid">
            <bgColor theme="0"/>
          </patternFill>
        </fill>
      </dxf>
    </rfmt>
    <rfmt sheetId="1" sqref="H631" start="0" length="0">
      <dxf>
        <fill>
          <patternFill patternType="solid">
            <bgColor theme="0"/>
          </patternFill>
        </fill>
      </dxf>
    </rfmt>
    <rfmt sheetId="1" sqref="I631" start="0" length="0">
      <dxf>
        <fill>
          <patternFill patternType="solid">
            <bgColor theme="0"/>
          </patternFill>
        </fill>
      </dxf>
    </rfmt>
    <rfmt sheetId="1" sqref="J631" start="0" length="0">
      <dxf>
        <fill>
          <patternFill patternType="solid">
            <bgColor theme="0"/>
          </patternFill>
        </fill>
      </dxf>
    </rfmt>
  </rrc>
  <rrc rId="6889" sId="1" ref="A631:XFD631" action="deleteRow">
    <rfmt sheetId="1" xfDxf="1" sqref="A631:XFD631" start="0" length="0">
      <dxf>
        <font>
          <name val="Times New Roman"/>
          <scheme val="none"/>
        </font>
        <alignment vertical="center" readingOrder="0"/>
      </dxf>
    </rfmt>
    <rcc rId="0" sId="1" dxf="1">
      <nc r="A631" t="inlineStr">
        <is>
          <t>Резервные средства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67 0 00 88890</t>
        </is>
      </nc>
      <ndxf>
        <numFmt numFmtId="30" formatCode="@"/>
        <alignment horizontal="center" readingOrder="0"/>
        <border outline="0">
          <bottom style="thin">
            <color indexed="64"/>
          </bottom>
        </border>
      </ndxf>
    </rcc>
    <rcc rId="0" sId="1" dxf="1">
      <nc r="C631" t="inlineStr">
        <is>
          <t>870</t>
        </is>
      </nc>
      <ndxf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631">
        <v>0</v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631">
        <v>0</v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 patternType="solid">
            <bgColor theme="0"/>
          </patternFill>
        </fill>
      </dxf>
    </rfmt>
    <rfmt sheetId="1" sqref="H631" start="0" length="0">
      <dxf>
        <fill>
          <patternFill patternType="solid">
            <bgColor theme="0"/>
          </patternFill>
        </fill>
      </dxf>
    </rfmt>
    <rfmt sheetId="1" sqref="I631" start="0" length="0">
      <dxf>
        <fill>
          <patternFill patternType="solid">
            <bgColor theme="0"/>
          </patternFill>
        </fill>
      </dxf>
    </rfmt>
    <rfmt sheetId="1" sqref="J631" start="0" length="0">
      <dxf>
        <fill>
          <patternFill patternType="solid">
            <bgColor theme="0"/>
          </patternFill>
        </fill>
      </dxf>
    </rfmt>
  </rrc>
  <rrc rId="6890" sId="1" ref="A631:XFD631" action="deleteRow">
    <undo index="29" exp="ref" v="1" dr="F631" r="F411" sId="1"/>
    <undo index="29" exp="ref" v="1" dr="E631" r="E411" sId="1"/>
    <undo index="29" exp="ref" v="1" dr="D631" r="D411" sId="1"/>
    <rfmt sheetId="1" xfDxf="1" sqref="A631:XFD631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Сохранение объектов культурного наследия</t>
        </is>
      </nc>
      <ndxf>
        <font>
          <i/>
          <name val="Times New Roman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68 0 00 00000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31" start="0" length="0">
      <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631">
        <f>D632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91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Мероприятия по сохранению объекта культурного наследия регионального значения "Мост на реке Кене"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68 0 00 80410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31" start="0" length="0">
      <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92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68 0 00 80410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 t="inlineStr">
        <is>
          <t>200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93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68 0 00 80410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 t="inlineStr">
        <is>
          <t>240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631">
        <f>D632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31">
        <f>E632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31">
        <f>F632</f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94" sId="1" ref="A631:XFD631" action="deleteRow">
    <rfmt sheetId="1" xfDxf="1" sqref="A631:XFD63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631" t="inlineStr">
        <is>
          <t xml:space="preserve">Прочая закупка товаров, работ и услуг </t>
        </is>
      </nc>
      <ndxf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1" t="inlineStr">
        <is>
          <t>68 0 00 80410</t>
        </is>
      </nc>
      <ndxf>
        <numFmt numFmtId="30" formatCode="@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1" t="inlineStr">
        <is>
          <t>244</t>
        </is>
      </nc>
      <ndxf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631">
        <v>0</v>
      </nc>
      <n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1" start="0" length="0">
      <dxf>
        <fill>
          <patternFill>
            <bgColor theme="0"/>
          </patternFill>
        </fill>
      </dxf>
    </rfmt>
    <rfmt sheetId="1" sqref="H631" start="0" length="0">
      <dxf>
        <fill>
          <patternFill>
            <bgColor theme="0"/>
          </patternFill>
        </fill>
      </dxf>
    </rfmt>
    <rfmt sheetId="1" sqref="I631" start="0" length="0">
      <dxf>
        <fill>
          <patternFill>
            <bgColor theme="0"/>
          </patternFill>
        </fill>
      </dxf>
    </rfmt>
    <rfmt sheetId="1" sqref="J631" start="0" length="0">
      <dxf>
        <fill>
          <patternFill>
            <bgColor theme="0"/>
          </patternFill>
        </fill>
      </dxf>
    </rfmt>
  </rrc>
  <rrc rId="6895" sId="1" ref="A631:XFD631" action="deleteRow">
    <rfmt sheetId="1" xfDxf="1" sqref="A631:XFD631" start="0" length="0">
      <dxf>
        <font>
          <name val="Times New Roman"/>
          <scheme val="none"/>
        </font>
      </dxf>
    </rfmt>
    <rfmt sheetId="1" sqref="A631" start="0" length="0">
      <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1" start="0" length="0">
      <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631" start="0" length="0">
      <dxf>
        <numFmt numFmtId="164" formatCode="_-* #,##0.00_р_._-;\-* #,##0.00_р_._-;_-* &quot;-&quot;??_р_._-;_-@_-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631" start="0" length="0">
      <dxf>
        <numFmt numFmtId="164" formatCode="_-* #,##0.00_р_._-;\-* #,##0.00_р_._-;_-* &quot;-&quot;??_р_._-;_-@_-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31" start="0" length="0">
      <dxf>
        <numFmt numFmtId="164" formatCode="_-* #,##0.00_р_._-;\-* #,##0.00_р_._-;_-* &quot;-&quot;??_р_._-;_-@_-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1" start="0" length="0">
      <dxf>
        <fill>
          <patternFill patternType="solid">
            <bgColor theme="0"/>
          </patternFill>
        </fill>
      </dxf>
    </rfmt>
    <rfmt sheetId="1" sqref="H631" start="0" length="0">
      <dxf>
        <fill>
          <patternFill patternType="solid">
            <bgColor theme="0"/>
          </patternFill>
        </fill>
      </dxf>
    </rfmt>
    <rfmt sheetId="1" sqref="I631" start="0" length="0">
      <dxf>
        <fill>
          <patternFill patternType="solid">
            <bgColor theme="0"/>
          </patternFill>
        </fill>
      </dxf>
    </rfmt>
    <rfmt sheetId="1" sqref="J631" start="0" length="0">
      <dxf>
        <fill>
          <patternFill patternType="solid">
            <bgColor theme="0"/>
          </patternFill>
        </fill>
      </dxf>
    </rfmt>
  </rrc>
  <rcc rId="6896" sId="1" numFmtId="34">
    <oc r="D630">
      <f>#REF!+#REF!+#REF!</f>
    </oc>
    <nc r="D630">
      <v>0</v>
    </nc>
  </rcc>
  <rcc rId="6897" sId="1" numFmtId="34">
    <oc r="E630">
      <f>#REF!+#REF!+#REF!</f>
    </oc>
    <nc r="E630">
      <v>0</v>
    </nc>
  </rcc>
  <rcc rId="6898" sId="1" numFmtId="34">
    <oc r="F630">
      <f>#REF!+#REF!+#REF!</f>
    </oc>
    <nc r="F630">
      <v>0</v>
    </nc>
  </rcc>
  <rcc rId="6899" sId="1">
    <oc r="D411">
      <f>D412+D417+D435+D454+D496+D500+D510+D522+D527+D574+D601+D615+D622+D630+D569+#REF!</f>
    </oc>
    <nc r="D411">
      <f>D412+D417+D435+D454+D496+D500+D510+D522+D527+D574+D601+D615+D622+D630+D569</f>
    </nc>
  </rcc>
  <rcc rId="6900" sId="1">
    <oc r="E411">
      <f>E412+E417+E435+E454+E496+E500+E510+E522+E527+E574+E601+E615+E622+E630+E569+#REF!</f>
    </oc>
    <nc r="E411">
      <f>E412+E417+E435+E454+E496+E500+E510+E522+E527+E574+E601+E615+E622+E630+E569</f>
    </nc>
  </rcc>
  <rcc rId="6901" sId="1">
    <oc r="F411">
      <f>F412+F417+F435+F454+F496+F500+F510+F522+F527+F574+F601+F615+F622+F630+F569+#REF!</f>
    </oc>
    <nc r="F411">
      <f>F412+F417+F435+F454+F496+F500+F510+F522+F527+F574+F601+F615+F622+F630+F569</f>
    </nc>
  </rcc>
  <rcc rId="6902" sId="1">
    <oc r="D51">
      <f>D52+D56+D68+D77+D93+D97+D81+D89+D85+D60+D101+D64+#REF!+#REF!+D73</f>
    </oc>
    <nc r="D51">
      <f>D52+D56+D60+D69+D85+D89+D73+D81+D77+D93+D65</f>
    </nc>
  </rcc>
  <rcc rId="6903" sId="1">
    <oc r="E51">
      <f>E52+E56+E68+E77+E93+E97+E81+E89+E85+E60+E101+E64+#REF!+#REF!+E73</f>
    </oc>
    <nc r="E51">
      <f>E52+E56+E60+E69+E85+E89+E73+E81+E77+E93+E65</f>
    </nc>
  </rcc>
  <rcc rId="6904" sId="1">
    <oc r="F51">
      <f>F52+F56+F68+F77+F93+F97+F81+F89+F85+F60+F101+F64+#REF!+#REF!+F73</f>
    </oc>
    <nc r="F51">
      <f>F52+F56+F60+F69+F85+F89+F73+F81+F77+F93+F65</f>
    </nc>
  </rcc>
  <rcc rId="6905" sId="1">
    <oc r="D29">
      <f>D30+D34+D42+D47+D38+#REF!</f>
    </oc>
    <nc r="D29">
      <f>D30+D34+D42+D47+D38</f>
    </nc>
  </rcc>
  <rcc rId="6906" sId="1">
    <oc r="E29">
      <f>E30+E34+E42+E47+E38+#REF!</f>
    </oc>
    <nc r="E29">
      <f>E30+E34+E42+E47+E38</f>
    </nc>
  </rcc>
  <rcc rId="6907" sId="1">
    <oc r="F29">
      <f>F30+F34+F42+F47+F38+#REF!</f>
    </oc>
    <nc r="F29">
      <f>F30+F34+F42+F47+F38</f>
    </nc>
  </rcc>
  <rcv guid="{9A752CC5-36AC-48BE-BF4B-1A38C4015906}" action="delete"/>
  <rdn rId="0" localSheetId="1" customView="1" name="Z_9A752CC5_36AC_48BE_BF4B_1A38C4015906_.wvu.PrintArea" hidden="1" oldHidden="1">
    <formula>'программы '!$A$1:$F$633</formula>
    <oldFormula>'программы '!$A$1:$F$633</oldFormula>
  </rdn>
  <rdn rId="0" localSheetId="1" customView="1" name="Z_9A752CC5_36AC_48BE_BF4B_1A38C4015906_.wvu.FilterData" hidden="1" oldHidden="1">
    <formula>'программы '!$A$11:$F$244</formula>
    <oldFormula>'программы '!$A$11:$F$244</oldFormula>
  </rdn>
  <rcv guid="{9A752CC5-36AC-48BE-BF4B-1A38C4015906}" action="add"/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45" sId="1" numFmtId="34">
    <oc r="D724">
      <v>532706.79</v>
    </oc>
    <nc r="D724">
      <f>532706.79-244250</f>
    </nc>
  </rcc>
  <rfmt sheetId="1" sqref="D724">
    <dxf>
      <fill>
        <patternFill patternType="solid">
          <bgColor rgb="FFFFFF00"/>
        </patternFill>
      </fill>
    </dxf>
  </rfmt>
  <rcc rId="4646" sId="1" numFmtId="34">
    <oc r="D715">
      <v>41482.039999999994</v>
    </oc>
    <nc r="D715">
      <f>41482.04-25059</f>
    </nc>
  </rcc>
  <rfmt sheetId="1" sqref="D715">
    <dxf>
      <fill>
        <patternFill patternType="solid">
          <bgColor rgb="FFFFFF00"/>
        </patternFill>
      </fill>
    </dxf>
  </rfmt>
  <rcc rId="4647" sId="1" numFmtId="34">
    <oc r="D365">
      <v>3355721.36</v>
    </oc>
    <nc r="D365">
      <f>3355721.36-3344747.8</f>
    </nc>
  </rcc>
  <rfmt sheetId="1" sqref="D365">
    <dxf>
      <fill>
        <patternFill patternType="solid">
          <bgColor rgb="FFFFFF00"/>
        </patternFill>
      </fill>
    </dxf>
  </rfmt>
  <rcc rId="4648" sId="1" numFmtId="34">
    <oc r="D837">
      <v>358553.82</v>
    </oc>
    <nc r="D837">
      <f>358553.82+25059</f>
    </nc>
  </rcc>
  <rfmt sheetId="1" sqref="D837">
    <dxf>
      <fill>
        <patternFill patternType="solid">
          <bgColor rgb="FFFFFF00"/>
        </patternFill>
      </fill>
    </dxf>
  </rfmt>
  <rrc rId="4649" sId="1" ref="A886:XFD886" action="insertRow"/>
  <rcc rId="4650" sId="1">
    <nc r="C886">
      <v>243</v>
    </nc>
  </rcc>
  <rcc rId="4651" sId="1">
    <nc r="B886" t="inlineStr">
      <is>
        <t>63 0 00 80100</t>
      </is>
    </nc>
  </rcc>
  <rcc rId="4652" sId="1">
    <nc r="A886" t="inlineStr">
      <is>
        <t>Закупка товаров, работ и услуг в целях капитального ремонта государственного (муниципального) имущества</t>
      </is>
    </nc>
  </rcc>
  <rcc rId="4653" sId="1">
    <oc r="D885">
      <f>D887+D888</f>
    </oc>
    <nc r="D885">
      <f>D887+D888+D886</f>
    </nc>
  </rcc>
  <rcc rId="4654" sId="1">
    <oc r="E885">
      <f>E887+E888</f>
    </oc>
    <nc r="E885">
      <f>E887+E888+E886</f>
    </nc>
  </rcc>
  <rcc rId="4655" sId="1">
    <oc r="F885">
      <f>F887+F888</f>
    </oc>
    <nc r="F885">
      <f>F887+F888+F886</f>
    </nc>
  </rcc>
  <rcc rId="4656" sId="1" numFmtId="34">
    <nc r="D886">
      <v>446399.17</v>
    </nc>
  </rcc>
  <rcc rId="4657" sId="1" numFmtId="34">
    <oc r="D887">
      <v>6215375.5300000003</v>
    </oc>
    <nc r="D887">
      <f>6215375.53-446399.17</f>
    </nc>
  </rcc>
  <rfmt sheetId="1" sqref="D886:D887">
    <dxf>
      <fill>
        <patternFill patternType="solid">
          <bgColor rgb="FFFFFF00"/>
        </patternFill>
      </fill>
    </dxf>
  </rfmt>
  <rcc rId="4658" sId="1" numFmtId="34">
    <oc r="D291">
      <v>1289000</v>
    </oc>
    <nc r="D291">
      <f>1289000-135000</f>
    </nc>
  </rcc>
  <rfmt sheetId="1" sqref="D291">
    <dxf>
      <fill>
        <patternFill patternType="solid">
          <bgColor rgb="FFFFFF00"/>
        </patternFill>
      </fill>
    </dxf>
  </rfmt>
  <rrc rId="4659" sId="1" ref="A288:XFD288" action="insertRow">
    <undo index="0" exp="area" ref3D="1" dr="$A$299:$XFD$307" dn="Z_30E81E54_DD45_4653_9DCD_548F6723F554_.wvu.Rows" sId="1"/>
    <undo index="16" exp="area" ref3D="1" dr="$A$841:$XFD$844" dn="Z_9A752CC5_36AC_48BE_BF4B_1A38C4015906_.wvu.Rows" sId="1"/>
    <undo index="14" exp="area" ref3D="1" dr="$A$795:$XFD$798" dn="Z_9A752CC5_36AC_48BE_BF4B_1A38C4015906_.wvu.Rows" sId="1"/>
    <undo index="12" exp="area" ref3D="1" dr="$A$579:$XFD$580" dn="Z_9A752CC5_36AC_48BE_BF4B_1A38C4015906_.wvu.Rows" sId="1"/>
    <undo index="10" exp="area" ref3D="1" dr="$A$542:$XFD$545" dn="Z_9A752CC5_36AC_48BE_BF4B_1A38C4015906_.wvu.Rows" sId="1"/>
    <undo index="8" exp="area" ref3D="1" dr="$A$528:$XFD$531" dn="Z_9A752CC5_36AC_48BE_BF4B_1A38C4015906_.wvu.Rows" sId="1"/>
    <undo index="6" exp="area" ref3D="1" dr="$A$348:$XFD$350" dn="Z_9A752CC5_36AC_48BE_BF4B_1A38C4015906_.wvu.Rows" sId="1"/>
    <undo index="4" exp="area" ref3D="1" dr="$A$327:$XFD$330" dn="Z_9A752CC5_36AC_48BE_BF4B_1A38C4015906_.wvu.Rows" sId="1"/>
  </rrc>
  <rrc rId="4660" sId="1" ref="A288:XFD288" action="insertRow">
    <undo index="0" exp="area" ref3D="1" dr="$A$300:$XFD$308" dn="Z_30E81E54_DD45_4653_9DCD_548F6723F554_.wvu.Rows" sId="1"/>
    <undo index="16" exp="area" ref3D="1" dr="$A$842:$XFD$845" dn="Z_9A752CC5_36AC_48BE_BF4B_1A38C4015906_.wvu.Rows" sId="1"/>
    <undo index="14" exp="area" ref3D="1" dr="$A$796:$XFD$799" dn="Z_9A752CC5_36AC_48BE_BF4B_1A38C4015906_.wvu.Rows" sId="1"/>
    <undo index="12" exp="area" ref3D="1" dr="$A$580:$XFD$581" dn="Z_9A752CC5_36AC_48BE_BF4B_1A38C4015906_.wvu.Rows" sId="1"/>
    <undo index="10" exp="area" ref3D="1" dr="$A$543:$XFD$546" dn="Z_9A752CC5_36AC_48BE_BF4B_1A38C4015906_.wvu.Rows" sId="1"/>
    <undo index="8" exp="area" ref3D="1" dr="$A$529:$XFD$532" dn="Z_9A752CC5_36AC_48BE_BF4B_1A38C4015906_.wvu.Rows" sId="1"/>
    <undo index="6" exp="area" ref3D="1" dr="$A$349:$XFD$351" dn="Z_9A752CC5_36AC_48BE_BF4B_1A38C4015906_.wvu.Rows" sId="1"/>
    <undo index="4" exp="area" ref3D="1" dr="$A$328:$XFD$331" dn="Z_9A752CC5_36AC_48BE_BF4B_1A38C4015906_.wvu.Rows" sId="1"/>
  </rrc>
  <rrc rId="4661" sId="1" ref="A288:XFD288" action="insertRow">
    <undo index="0" exp="area" ref3D="1" dr="$A$301:$XFD$309" dn="Z_30E81E54_DD45_4653_9DCD_548F6723F554_.wvu.Rows" sId="1"/>
    <undo index="16" exp="area" ref3D="1" dr="$A$843:$XFD$846" dn="Z_9A752CC5_36AC_48BE_BF4B_1A38C4015906_.wvu.Rows" sId="1"/>
    <undo index="14" exp="area" ref3D="1" dr="$A$797:$XFD$800" dn="Z_9A752CC5_36AC_48BE_BF4B_1A38C4015906_.wvu.Rows" sId="1"/>
    <undo index="12" exp="area" ref3D="1" dr="$A$581:$XFD$582" dn="Z_9A752CC5_36AC_48BE_BF4B_1A38C4015906_.wvu.Rows" sId="1"/>
    <undo index="10" exp="area" ref3D="1" dr="$A$544:$XFD$547" dn="Z_9A752CC5_36AC_48BE_BF4B_1A38C4015906_.wvu.Rows" sId="1"/>
    <undo index="8" exp="area" ref3D="1" dr="$A$530:$XFD$533" dn="Z_9A752CC5_36AC_48BE_BF4B_1A38C4015906_.wvu.Rows" sId="1"/>
    <undo index="6" exp="area" ref3D="1" dr="$A$350:$XFD$352" dn="Z_9A752CC5_36AC_48BE_BF4B_1A38C4015906_.wvu.Rows" sId="1"/>
    <undo index="4" exp="area" ref3D="1" dr="$A$329:$XFD$332" dn="Z_9A752CC5_36AC_48BE_BF4B_1A38C4015906_.wvu.Rows" sId="1"/>
  </rrc>
  <rrc rId="4662" sId="1" ref="A288:XFD288" action="insertRow">
    <undo index="0" exp="area" ref3D="1" dr="$A$302:$XFD$310" dn="Z_30E81E54_DD45_4653_9DCD_548F6723F554_.wvu.Rows" sId="1"/>
    <undo index="16" exp="area" ref3D="1" dr="$A$844:$XFD$847" dn="Z_9A752CC5_36AC_48BE_BF4B_1A38C4015906_.wvu.Rows" sId="1"/>
    <undo index="14" exp="area" ref3D="1" dr="$A$798:$XFD$801" dn="Z_9A752CC5_36AC_48BE_BF4B_1A38C4015906_.wvu.Rows" sId="1"/>
    <undo index="12" exp="area" ref3D="1" dr="$A$582:$XFD$583" dn="Z_9A752CC5_36AC_48BE_BF4B_1A38C4015906_.wvu.Rows" sId="1"/>
    <undo index="10" exp="area" ref3D="1" dr="$A$545:$XFD$548" dn="Z_9A752CC5_36AC_48BE_BF4B_1A38C4015906_.wvu.Rows" sId="1"/>
    <undo index="8" exp="area" ref3D="1" dr="$A$531:$XFD$534" dn="Z_9A752CC5_36AC_48BE_BF4B_1A38C4015906_.wvu.Rows" sId="1"/>
    <undo index="6" exp="area" ref3D="1" dr="$A$351:$XFD$353" dn="Z_9A752CC5_36AC_48BE_BF4B_1A38C4015906_.wvu.Rows" sId="1"/>
    <undo index="4" exp="area" ref3D="1" dr="$A$330:$XFD$333" dn="Z_9A752CC5_36AC_48BE_BF4B_1A38C4015906_.wvu.Rows" sId="1"/>
  </rrc>
  <rcc rId="4663" sId="1">
    <nc r="A288" t="inlineStr">
      <is>
        <t>Приобретение и установка автономных дымовых пожарных извещателей</t>
      </is>
    </nc>
  </rcc>
  <rcc rId="4664" sId="1">
    <nc r="A289" t="inlineStr">
      <is>
        <t>Закупка товаров, работ и услуг для обеспечения государственных (муниципальных) нужд</t>
      </is>
    </nc>
  </rcc>
  <rcc rId="4665" sId="1">
    <nc r="A290" t="inlineStr">
      <is>
        <t>Иные закупки товаров,работ и услуг для обеспечения государственных (муниципальных) нужд</t>
      </is>
    </nc>
  </rcc>
  <rcc rId="4666" sId="1">
    <nc r="A291" t="inlineStr">
      <is>
        <t xml:space="preserve">Прочая закупка товаров, работ и услуг </t>
      </is>
    </nc>
  </rcc>
  <rcc rId="4667" sId="1">
    <nc r="C291">
      <v>244</v>
    </nc>
  </rcc>
  <rcc rId="4668" sId="1">
    <nc r="C290">
      <v>240</v>
    </nc>
  </rcc>
  <rcc rId="4669" sId="1">
    <nc r="C289">
      <v>200</v>
    </nc>
  </rcc>
  <rcc rId="4670" sId="1">
    <nc r="B288" t="inlineStr">
      <is>
        <t>05 2 00 S6870</t>
      </is>
    </nc>
  </rcc>
  <rcc rId="4671" sId="1">
    <nc r="B289" t="inlineStr">
      <is>
        <t>05 2 00 S6870</t>
      </is>
    </nc>
  </rcc>
  <rcc rId="4672" sId="1">
    <nc r="B290" t="inlineStr">
      <is>
        <t>05 2 00 S6870</t>
      </is>
    </nc>
  </rcc>
  <rcc rId="4673" sId="1">
    <nc r="B291" t="inlineStr">
      <is>
        <t>05 2 00 S6870</t>
      </is>
    </nc>
  </rcc>
  <rcc rId="4674" sId="1">
    <nc r="D290">
      <f>D291</f>
    </nc>
  </rcc>
  <rcc rId="4675" sId="1">
    <nc r="E290">
      <f>E291</f>
    </nc>
  </rcc>
  <rcc rId="4676" sId="1">
    <nc r="F290">
      <f>F291</f>
    </nc>
  </rcc>
  <rcc rId="4677" sId="1">
    <nc r="D289">
      <f>D290</f>
    </nc>
  </rcc>
  <rcc rId="4678" sId="1">
    <nc r="E289">
      <f>E290</f>
    </nc>
  </rcc>
  <rcc rId="4679" sId="1">
    <nc r="F289">
      <f>F290</f>
    </nc>
  </rcc>
  <rcc rId="4680" sId="1">
    <nc r="D288">
      <f>D289</f>
    </nc>
  </rcc>
  <rcc rId="4681" sId="1">
    <nc r="E288">
      <f>E289</f>
    </nc>
  </rcc>
  <rcc rId="4682" sId="1">
    <nc r="F288">
      <f>F289</f>
    </nc>
  </rcc>
  <rcc rId="4683" sId="1">
    <oc r="D283">
      <f>D284+D292</f>
    </oc>
    <nc r="D283">
      <f>D284+D292+D288</f>
    </nc>
  </rcc>
  <rcc rId="4684" sId="1">
    <oc r="E283">
      <f>E284+E292</f>
    </oc>
    <nc r="E283">
      <f>E284+E292+E288</f>
    </nc>
  </rcc>
  <rcc rId="4685" sId="1">
    <oc r="F283">
      <f>F284+F292</f>
    </oc>
    <nc r="F283">
      <f>F284+F292+F288</f>
    </nc>
  </rcc>
  <rcc rId="4686" sId="1" numFmtId="34">
    <nc r="D291">
      <v>1233656</v>
    </nc>
  </rcc>
  <rfmt sheetId="1" sqref="D291">
    <dxf>
      <fill>
        <patternFill patternType="solid">
          <bgColor rgb="FFFFFF00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'!$A$1:$F$943</formula>
    <oldFormula>'программы '!$A$1:$F$943</oldFormula>
  </rdn>
  <rdn rId="0" localSheetId="1" customView="1" name="Z_D9B90A86_BE39_4FED_8226_084809D277F3_.wvu.FilterData" hidden="1" oldHidden="1">
    <formula>'программы '!$C$1:$C$951</formula>
    <oldFormula>'программы '!$C$1:$C$951</oldFormula>
  </rdn>
  <rcv guid="{D9B90A86-BE39-4FED-8226-084809D277F3}" action="add"/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9" sId="1" numFmtId="34">
    <oc r="D366">
      <v>5000000</v>
    </oc>
    <nc r="D366">
      <f>5000000+344484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66">
    <dxf>
      <fill>
        <patternFill patternType="solid">
          <bgColor rgb="FFFFFF00"/>
        </patternFill>
      </fill>
    </dxf>
  </rfmt>
  <rcc rId="4690" sId="1" numFmtId="34">
    <oc r="D382">
      <v>3591627.58</v>
    </oc>
    <nc r="D382">
      <f>3591627.58+3595.22</f>
    </nc>
  </rcc>
  <rfmt sheetId="1" sqref="D382">
    <dxf>
      <fill>
        <patternFill patternType="solid">
          <bgColor rgb="FFFFFF00"/>
        </patternFill>
      </fill>
    </dxf>
  </rfmt>
  <rcc rId="4691" sId="1" numFmtId="34">
    <oc r="D387">
      <v>1942940.95</v>
    </oc>
    <nc r="D387">
      <f>1942940.95-3595.22</f>
    </nc>
  </rcc>
  <rfmt sheetId="1" sqref="D387">
    <dxf>
      <fill>
        <patternFill patternType="solid">
          <bgColor rgb="FFFFFF0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2" sId="1">
    <oc r="D366">
      <f>5000000+344484</f>
    </oc>
    <nc r="D366">
      <f>5000000+344484+87070.87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3" sId="1" numFmtId="34">
    <oc r="D787">
      <v>2874890.87</v>
    </oc>
    <nc r="D787">
      <f>2874890.87-97542.24</f>
    </nc>
  </rcc>
  <rfmt sheetId="1" sqref="D787">
    <dxf>
      <fill>
        <patternFill patternType="solid">
          <bgColor rgb="FFFFFF0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rc rId="5786" sId="1" ref="A93:XFD96" action="insertRow">
    <undo index="0" exp="area" ref3D="1" dr="$A$257:$XFD$265" dn="Z_30E81E54_DD45_4653_9DCD_548F6723F554_.wvu.Rows" sId="1"/>
  </rrc>
  <rfmt sheetId="1" sqref="A93" start="0" length="0">
    <dxf>
      <numFmt numFmtId="0" formatCode="General"/>
      <alignment horizontal="justify" wrapText="0" readingOrder="0"/>
    </dxf>
  </rfmt>
  <rfmt sheetId="1" s="1" sqref="C93" start="0" length="0">
    <dxf/>
  </rfmt>
  <rcc rId="5787" sId="1">
    <nc r="D93">
      <f>D95</f>
    </nc>
  </rcc>
  <rcc rId="5788" sId="1">
    <nc r="E93">
      <f>E95</f>
    </nc>
  </rcc>
  <rcc rId="5789" sId="1">
    <nc r="F93">
      <f>F95</f>
    </nc>
  </rcc>
  <rcc rId="5790" sId="1">
    <nc r="E94">
      <f>E95</f>
    </nc>
  </rcc>
  <rcc rId="5791" sId="1">
    <nc r="F94">
      <f>F95</f>
    </nc>
  </rcc>
  <rcc rId="5792" sId="1">
    <nc r="E95">
      <f>E96</f>
    </nc>
  </rcc>
  <rcc rId="5793" sId="1">
    <nc r="F95">
      <f>F96</f>
    </nc>
  </rcc>
  <rfmt sheetId="1" sqref="A96" start="0" length="0">
    <dxf>
      <numFmt numFmtId="0" formatCode="General"/>
      <alignment horizontal="left" readingOrder="0"/>
    </dxf>
  </rfmt>
  <rfmt sheetId="1" sqref="D96" start="0" length="0">
    <dxf>
      <fill>
        <patternFill>
          <bgColor rgb="FFFF0000"/>
        </patternFill>
      </fill>
    </dxf>
  </rfmt>
  <rcc rId="5794" sId="1" odxf="1" dxf="1">
    <nc r="A93" t="inlineStr">
      <is>
        <t>Бюджетные инвестиции в объекты капитального строительства собственности муниципальных образований</t>
      </is>
    </nc>
    <ndxf>
      <fill>
        <patternFill>
          <bgColor rgb="FF92D050"/>
        </patternFill>
      </fill>
      <border outline="0">
        <top/>
      </border>
    </ndxf>
  </rcc>
  <rcc rId="5795" sId="1" odxf="1" s="1" dxf="1">
    <nc r="B93" t="inlineStr">
      <is>
        <t>03 2 00 80310</t>
      </is>
    </nc>
    <ndxf>
      <font>
        <sz val="10"/>
        <color auto="1"/>
        <name val="Times New Roman Cyr"/>
        <scheme val="none"/>
      </font>
      <numFmt numFmtId="0" formatCode="General"/>
      <fill>
        <patternFill>
          <bgColor rgb="FF92D050"/>
        </patternFill>
      </fill>
      <border outline="0">
        <left/>
        <right/>
      </border>
    </ndxf>
  </rcc>
  <rcc rId="5796" sId="1" odxf="1" s="1" dxf="1">
    <nc r="B94" t="inlineStr">
      <is>
        <t>03 2 00 80310</t>
      </is>
    </nc>
    <ndxf>
      <font>
        <sz val="10"/>
        <color auto="1"/>
        <name val="Times New Roman Cyr"/>
        <scheme val="none"/>
      </font>
      <numFmt numFmtId="0" formatCode="General"/>
      <fill>
        <patternFill>
          <bgColor rgb="FF92D050"/>
        </patternFill>
      </fill>
      <border outline="0">
        <left/>
        <right/>
      </border>
    </ndxf>
  </rcc>
  <rcc rId="5797" sId="1" odxf="1" s="1" dxf="1">
    <nc r="B95" t="inlineStr">
      <is>
        <t>03 2 00 80310</t>
      </is>
    </nc>
    <ndxf>
      <font>
        <sz val="10"/>
        <color auto="1"/>
        <name val="Times New Roman Cyr"/>
        <scheme val="none"/>
      </font>
      <numFmt numFmtId="0" formatCode="General"/>
      <fill>
        <patternFill>
          <bgColor rgb="FF92D050"/>
        </patternFill>
      </fill>
      <border outline="0">
        <left/>
        <right/>
      </border>
    </ndxf>
  </rcc>
  <rcc rId="5798" sId="1" odxf="1" s="1" dxf="1">
    <nc r="B96" t="inlineStr">
      <is>
        <t>03 2 00 80310</t>
      </is>
    </nc>
    <ndxf>
      <font>
        <sz val="10"/>
        <color auto="1"/>
        <name val="Times New Roman Cyr"/>
        <scheme val="none"/>
      </font>
      <numFmt numFmtId="0" formatCode="General"/>
      <fill>
        <patternFill>
          <bgColor rgb="FF92D050"/>
        </patternFill>
      </fill>
      <border outline="0">
        <left/>
        <right/>
      </border>
    </ndxf>
  </rcc>
  <rcc rId="5799" sId="1" odxf="1" dxf="1">
    <nc r="A94" t="inlineStr">
      <is>
        <t>Капитальные вложения в объекты государственной (муниципальной) собственности</t>
      </is>
    </nc>
    <ndxf>
      <font>
        <name val="Times New Roman Cyr"/>
        <scheme val="none"/>
      </font>
      <numFmt numFmtId="0" formatCode="General"/>
      <fill>
        <patternFill>
          <bgColor rgb="FF92D050"/>
        </patternFill>
      </fill>
      <alignment horizontal="justify" wrapText="0" readingOrder="0"/>
      <border outline="0">
        <top/>
      </border>
    </ndxf>
  </rcc>
  <rcc rId="5800" sId="1" odxf="1" dxf="1">
    <nc r="A95" t="inlineStr">
      <is>
        <t>Бюджетные инвестиции</t>
      </is>
    </nc>
    <ndxf>
      <font>
        <name val="Times New Roman Cyr"/>
        <scheme val="none"/>
      </font>
      <numFmt numFmtId="0" formatCode="General"/>
      <fill>
        <patternFill>
          <bgColor rgb="FF92D050"/>
        </patternFill>
      </fill>
      <alignment horizontal="justify" wrapText="0" readingOrder="0"/>
      <border outline="0">
        <top/>
      </border>
    </ndxf>
  </rcc>
  <rcc rId="5801" sId="1" odxf="1" dxf="1">
    <nc r="A96" t="inlineStr">
      <is>
        <t>Бюджетные инвестиции в объекты капитального строительства государственной (муниципальной) собственности</t>
      </is>
    </nc>
    <ndxf>
      <font>
        <name val="Times New Roman Cyr"/>
        <scheme val="none"/>
      </font>
      <fill>
        <patternFill>
          <bgColor rgb="FF92D050"/>
        </patternFill>
      </fill>
      <alignment horizontal="justify" wrapText="0" readingOrder="0"/>
      <border outline="0">
        <top/>
      </border>
    </ndxf>
  </rcc>
  <rcc rId="5802" sId="1">
    <nc r="C94">
      <v>400</v>
    </nc>
  </rcc>
  <rcc rId="5803" sId="1" numFmtId="34">
    <nc r="D94">
      <v>884950.51</v>
    </nc>
  </rcc>
  <rcc rId="5804" sId="1">
    <nc r="C95">
      <v>410</v>
    </nc>
  </rcc>
  <rcc rId="5805" sId="1" numFmtId="34">
    <nc r="D95">
      <v>884950.51</v>
    </nc>
  </rcc>
  <rcc rId="5806" sId="1">
    <nc r="C96">
      <v>414</v>
    </nc>
  </rcc>
  <rcc rId="5807" sId="1" numFmtId="34">
    <nc r="D96">
      <v>884950.51</v>
    </nc>
  </rcc>
  <rcc rId="5808" sId="1" numFmtId="34">
    <nc r="E96">
      <v>0</v>
    </nc>
  </rcc>
  <rcc rId="5809" sId="1" numFmtId="34">
    <nc r="F96">
      <v>0</v>
    </nc>
  </rcc>
  <rfmt sheetId="1" sqref="D96">
    <dxf>
      <fill>
        <patternFill>
          <bgColor rgb="FFFFFF00"/>
        </patternFill>
      </fill>
    </dxf>
  </rfmt>
  <rrc rId="5810" sId="1" ref="A64:XFD67" action="insertRow">
    <undo index="0" exp="area" ref3D="1" dr="$A$261:$XFD$269" dn="Z_30E81E54_DD45_4653_9DCD_548F6723F554_.wvu.Rows" sId="1"/>
  </rrc>
  <rm rId="5811" sheetId="1" source="A123:XFD126" destination="A64:XFD67" sourceSheetId="1">
    <rfmt sheetId="1" xfDxf="1" sqref="A64:XFD64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fmt sheetId="1" xfDxf="1" sqref="A65:XFD65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fmt sheetId="1" xfDxf="1" sqref="A66:XFD66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fmt sheetId="1" xfDxf="1" sqref="A67:XFD67" start="0" length="0">
      <dxf>
        <font>
          <b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fmt sheetId="1" sqref="A64" start="0" length="0">
      <dxf>
        <font>
          <b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="1" sqref="B64" start="0" length="0">
      <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dxf>
    </rfmt>
    <rfmt sheetId="1" s="1" sqref="C64" start="0" length="0">
      <dxf>
        <font>
          <b val="0"/>
          <sz val="10"/>
          <color auto="1"/>
          <name val="Times New Roman"/>
          <scheme val="none"/>
        </font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64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64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4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" start="0" length="0">
      <dxf>
        <fill>
          <patternFill>
            <bgColor theme="0"/>
          </patternFill>
        </fill>
      </dxf>
    </rfmt>
    <rfmt sheetId="1" sqref="H64" start="0" length="0">
      <dxf>
        <fill>
          <patternFill>
            <bgColor theme="0"/>
          </patternFill>
        </fill>
      </dxf>
    </rfmt>
    <rfmt sheetId="1" sqref="I64" start="0" length="0">
      <dxf>
        <fill>
          <patternFill>
            <bgColor theme="0"/>
          </patternFill>
        </fill>
      </dxf>
    </rfmt>
    <rfmt sheetId="1" sqref="J64" start="0" length="0">
      <dxf>
        <fill>
          <patternFill>
            <bgColor theme="0"/>
          </patternFill>
        </fill>
      </dxf>
    </rfmt>
    <rfmt sheetId="1" sqref="A65" start="0" length="0">
      <dxf>
        <font>
          <b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="1" sqref="B65" start="0" length="0">
      <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dxf>
    </rfmt>
    <rfmt sheetId="1" s="1" sqref="C65" start="0" length="0">
      <dxf>
        <font>
          <b val="0"/>
          <sz val="10"/>
          <color auto="1"/>
          <name val="Times New Roman"/>
          <scheme val="none"/>
        </font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65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65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5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" start="0" length="0">
      <dxf>
        <fill>
          <patternFill>
            <bgColor theme="0"/>
          </patternFill>
        </fill>
      </dxf>
    </rfmt>
    <rfmt sheetId="1" sqref="H65" start="0" length="0">
      <dxf>
        <fill>
          <patternFill>
            <bgColor theme="0"/>
          </patternFill>
        </fill>
      </dxf>
    </rfmt>
    <rfmt sheetId="1" sqref="I65" start="0" length="0">
      <dxf>
        <fill>
          <patternFill>
            <bgColor theme="0"/>
          </patternFill>
        </fill>
      </dxf>
    </rfmt>
    <rfmt sheetId="1" sqref="J65" start="0" length="0">
      <dxf>
        <fill>
          <patternFill>
            <bgColor theme="0"/>
          </patternFill>
        </fill>
      </dxf>
    </rfmt>
    <rfmt sheetId="1" sqref="A66" start="0" length="0">
      <dxf>
        <font>
          <b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="1" sqref="B66" start="0" length="0">
      <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dxf>
    </rfmt>
    <rfmt sheetId="1" s="1" sqref="C66" start="0" length="0">
      <dxf>
        <font>
          <b val="0"/>
          <sz val="10"/>
          <color auto="1"/>
          <name val="Times New Roman"/>
          <scheme val="none"/>
        </font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66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66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6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6" start="0" length="0">
      <dxf>
        <fill>
          <patternFill>
            <bgColor theme="0"/>
          </patternFill>
        </fill>
      </dxf>
    </rfmt>
    <rfmt sheetId="1" sqref="H66" start="0" length="0">
      <dxf>
        <fill>
          <patternFill>
            <bgColor theme="0"/>
          </patternFill>
        </fill>
      </dxf>
    </rfmt>
    <rfmt sheetId="1" sqref="I66" start="0" length="0">
      <dxf>
        <fill>
          <patternFill>
            <bgColor theme="0"/>
          </patternFill>
        </fill>
      </dxf>
    </rfmt>
    <rfmt sheetId="1" sqref="J66" start="0" length="0">
      <dxf>
        <fill>
          <patternFill>
            <bgColor theme="0"/>
          </patternFill>
        </fill>
      </dxf>
    </rfmt>
    <rfmt sheetId="1" sqref="A67" start="0" length="0">
      <dxf>
        <font>
          <b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="1" sqref="B67" start="0" length="0">
      <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dxf>
    </rfmt>
    <rfmt sheetId="1" s="1" sqref="C67" start="0" length="0">
      <dxf>
        <font>
          <b val="0"/>
          <sz val="10"/>
          <color auto="1"/>
          <name val="Times New Roman"/>
          <scheme val="none"/>
        </font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67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67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7" start="0" length="0">
      <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7" start="0" length="0">
      <dxf>
        <fill>
          <patternFill>
            <bgColor theme="0"/>
          </patternFill>
        </fill>
      </dxf>
    </rfmt>
    <rfmt sheetId="1" sqref="H67" start="0" length="0">
      <dxf>
        <fill>
          <patternFill>
            <bgColor theme="0"/>
          </patternFill>
        </fill>
      </dxf>
    </rfmt>
    <rfmt sheetId="1" sqref="I67" start="0" length="0">
      <dxf>
        <fill>
          <patternFill>
            <bgColor theme="0"/>
          </patternFill>
        </fill>
      </dxf>
    </rfmt>
    <rfmt sheetId="1" sqref="J67" start="0" length="0">
      <dxf>
        <fill>
          <patternFill>
            <bgColor theme="0"/>
          </patternFill>
        </fill>
      </dxf>
    </rfmt>
  </rm>
  <rrc rId="5812" sId="1" ref="A123:XFD123" action="deleteRow">
    <undo index="0" exp="area" ref3D="1" dr="$A$265:$XFD$273" dn="Z_30E81E54_DD45_4653_9DCD_548F6723F554_.wvu.Rows" sId="1"/>
    <rfmt sheetId="1" xfDxf="1" sqref="A123:XFD123" start="0" length="0">
      <dxf>
        <font>
          <sz val="11"/>
          <name val="Times New Roman"/>
          <scheme val="none"/>
        </font>
        <alignment vertical="center" readingOrder="0"/>
      </dxf>
    </rfmt>
    <rfmt sheetId="1" sqref="A123" start="0" length="0">
      <dxf>
        <fill>
          <patternFill patternType="solid">
            <bgColor rgb="FFFFFF00"/>
          </patternFill>
        </fill>
      </dxf>
    </rfmt>
    <rfmt sheetId="1" sqref="B12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2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23" start="0" length="0">
      <dxf>
        <fill>
          <patternFill patternType="solid">
            <bgColor theme="0"/>
          </patternFill>
        </fill>
      </dxf>
    </rfmt>
    <rfmt sheetId="1" sqref="H123" start="0" length="0">
      <dxf>
        <fill>
          <patternFill patternType="solid">
            <bgColor theme="0"/>
          </patternFill>
        </fill>
      </dxf>
    </rfmt>
    <rfmt sheetId="1" sqref="I123" start="0" length="0">
      <dxf>
        <fill>
          <patternFill patternType="solid">
            <bgColor theme="0"/>
          </patternFill>
        </fill>
      </dxf>
    </rfmt>
    <rfmt sheetId="1" sqref="J123" start="0" length="0">
      <dxf>
        <fill>
          <patternFill patternType="solid">
            <bgColor theme="0"/>
          </patternFill>
        </fill>
      </dxf>
    </rfmt>
  </rrc>
  <rrc rId="5813" sId="1" ref="A123:XFD123" action="deleteRow">
    <undo index="0" exp="area" ref3D="1" dr="$A$264:$XFD$272" dn="Z_30E81E54_DD45_4653_9DCD_548F6723F554_.wvu.Rows" sId="1"/>
    <rfmt sheetId="1" xfDxf="1" sqref="A123:XFD123" start="0" length="0">
      <dxf>
        <font>
          <sz val="11"/>
          <name val="Times New Roman"/>
          <scheme val="none"/>
        </font>
        <alignment vertical="center" readingOrder="0"/>
      </dxf>
    </rfmt>
    <rfmt sheetId="1" sqref="A123" start="0" length="0">
      <dxf>
        <fill>
          <patternFill patternType="solid">
            <bgColor rgb="FFFFFF00"/>
          </patternFill>
        </fill>
      </dxf>
    </rfmt>
    <rfmt sheetId="1" sqref="B12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2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23" start="0" length="0">
      <dxf>
        <fill>
          <patternFill patternType="solid">
            <bgColor theme="0"/>
          </patternFill>
        </fill>
      </dxf>
    </rfmt>
    <rfmt sheetId="1" sqref="H123" start="0" length="0">
      <dxf>
        <fill>
          <patternFill patternType="solid">
            <bgColor theme="0"/>
          </patternFill>
        </fill>
      </dxf>
    </rfmt>
    <rfmt sheetId="1" sqref="I123" start="0" length="0">
      <dxf>
        <fill>
          <patternFill patternType="solid">
            <bgColor theme="0"/>
          </patternFill>
        </fill>
      </dxf>
    </rfmt>
    <rfmt sheetId="1" sqref="J123" start="0" length="0">
      <dxf>
        <fill>
          <patternFill patternType="solid">
            <bgColor theme="0"/>
          </patternFill>
        </fill>
      </dxf>
    </rfmt>
  </rrc>
  <rrc rId="5814" sId="1" ref="A123:XFD123" action="deleteRow">
    <undo index="0" exp="area" ref3D="1" dr="$A$263:$XFD$271" dn="Z_30E81E54_DD45_4653_9DCD_548F6723F554_.wvu.Rows" sId="1"/>
    <rfmt sheetId="1" xfDxf="1" sqref="A123:XFD123" start="0" length="0">
      <dxf>
        <font>
          <sz val="11"/>
          <name val="Times New Roman"/>
          <scheme val="none"/>
        </font>
        <alignment vertical="center" readingOrder="0"/>
      </dxf>
    </rfmt>
    <rfmt sheetId="1" sqref="A123" start="0" length="0">
      <dxf>
        <fill>
          <patternFill patternType="solid">
            <bgColor rgb="FFFFFF00"/>
          </patternFill>
        </fill>
      </dxf>
    </rfmt>
    <rfmt sheetId="1" sqref="B12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2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23" start="0" length="0">
      <dxf>
        <fill>
          <patternFill patternType="solid">
            <bgColor theme="0"/>
          </patternFill>
        </fill>
      </dxf>
    </rfmt>
    <rfmt sheetId="1" sqref="H123" start="0" length="0">
      <dxf>
        <fill>
          <patternFill patternType="solid">
            <bgColor theme="0"/>
          </patternFill>
        </fill>
      </dxf>
    </rfmt>
    <rfmt sheetId="1" sqref="I123" start="0" length="0">
      <dxf>
        <fill>
          <patternFill patternType="solid">
            <bgColor theme="0"/>
          </patternFill>
        </fill>
      </dxf>
    </rfmt>
    <rfmt sheetId="1" sqref="J123" start="0" length="0">
      <dxf>
        <fill>
          <patternFill patternType="solid">
            <bgColor theme="0"/>
          </patternFill>
        </fill>
      </dxf>
    </rfmt>
  </rrc>
  <rrc rId="5815" sId="1" ref="A123:XFD123" action="deleteRow">
    <undo index="0" exp="area" ref3D="1" dr="$A$262:$XFD$270" dn="Z_30E81E54_DD45_4653_9DCD_548F6723F554_.wvu.Rows" sId="1"/>
    <rfmt sheetId="1" xfDxf="1" sqref="A123:XFD123" start="0" length="0">
      <dxf>
        <font>
          <sz val="11"/>
          <name val="Times New Roman"/>
          <scheme val="none"/>
        </font>
        <alignment vertical="center" readingOrder="0"/>
      </dxf>
    </rfmt>
    <rfmt sheetId="1" sqref="A123" start="0" length="0">
      <dxf>
        <fill>
          <patternFill patternType="solid">
            <bgColor rgb="FFFFFF00"/>
          </patternFill>
        </fill>
      </dxf>
    </rfmt>
    <rfmt sheetId="1" sqref="B12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2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23" start="0" length="0">
      <dxf>
        <fill>
          <patternFill patternType="solid">
            <bgColor theme="0"/>
          </patternFill>
        </fill>
      </dxf>
    </rfmt>
    <rfmt sheetId="1" sqref="H123" start="0" length="0">
      <dxf>
        <fill>
          <patternFill patternType="solid">
            <bgColor theme="0"/>
          </patternFill>
        </fill>
      </dxf>
    </rfmt>
    <rfmt sheetId="1" sqref="I123" start="0" length="0">
      <dxf>
        <fill>
          <patternFill patternType="solid">
            <bgColor theme="0"/>
          </patternFill>
        </fill>
      </dxf>
    </rfmt>
    <rfmt sheetId="1" sqref="J123" start="0" length="0">
      <dxf>
        <fill>
          <patternFill patternType="solid">
            <bgColor theme="0"/>
          </patternFill>
        </fill>
      </dxf>
    </rfmt>
  </rrc>
  <rfmt sheetId="1" sqref="A63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6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816" sId="1">
    <oc r="D63">
      <f>D68</f>
    </oc>
    <nc r="D63">
      <f>D68+D64</f>
    </nc>
  </rcc>
  <rcc rId="5817" sId="1">
    <oc r="E63">
      <f>E68</f>
    </oc>
    <nc r="E63">
      <f>E68+E64</f>
    </nc>
  </rcc>
  <rcc rId="5818" sId="1">
    <oc r="F63">
      <f>F68</f>
    </oc>
    <nc r="F63">
      <f>F68+F64</f>
    </nc>
  </rcc>
  <rcc rId="5819" sId="1">
    <oc r="D122">
      <f>D64</f>
    </oc>
    <nc r="D122"/>
  </rcc>
  <rcc rId="5820" sId="1">
    <oc r="E122">
      <f>E64</f>
    </oc>
    <nc r="E122"/>
  </rcc>
  <rcc rId="5821" sId="1">
    <oc r="F122">
      <f>F64</f>
    </oc>
    <nc r="F122"/>
  </rcc>
  <rcc rId="5822" sId="1">
    <oc r="A122" t="inlineStr">
      <is>
        <t>Мероприятия в рамках Федерального проекта «Педагоги и наставники»</t>
      </is>
    </oc>
    <nc r="A122"/>
  </rcc>
  <rcc rId="5823" sId="1">
    <oc r="B122" t="inlineStr">
      <is>
        <t>03 2 Ю6 00000</t>
      </is>
    </oc>
    <nc r="B122"/>
  </rcc>
  <rrc rId="5824" sId="1" ref="A122:XFD122" action="deleteRow">
    <undo index="19" exp="ref" v="1" dr="F122" r="F58" sId="1"/>
    <undo index="19" exp="ref" v="1" dr="E122" r="E58" sId="1"/>
    <undo index="19" exp="ref" v="1" dr="D122" r="D58" sId="1"/>
    <undo index="0" exp="area" ref3D="1" dr="$A$261:$XFD$269" dn="Z_30E81E54_DD45_4653_9DCD_548F6723F554_.wvu.Rows" sId="1"/>
    <rfmt sheetId="1" xfDxf="1" sqref="A122:XFD12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fmt sheetId="1" sqref="A122" start="0" length="0">
      <dxf>
        <fill>
          <patternFill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122" start="0" length="0">
      <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ill>
          <patternFill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2" start="0" length="0">
      <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2" start="0" length="0">
      <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2" start="0" length="0">
      <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ill>
          <patternFill>
            <bgColor theme="0"/>
          </patternFill>
        </fill>
      </dxf>
    </rfmt>
    <rfmt sheetId="1" sqref="H122" start="0" length="0">
      <dxf>
        <fill>
          <patternFill>
            <bgColor theme="0"/>
          </patternFill>
        </fill>
      </dxf>
    </rfmt>
    <rfmt sheetId="1" sqref="I122" start="0" length="0">
      <dxf>
        <fill>
          <patternFill>
            <bgColor theme="0"/>
          </patternFill>
        </fill>
      </dxf>
    </rfmt>
    <rfmt sheetId="1" sqref="J122" start="0" length="0">
      <dxf>
        <fill>
          <patternFill>
            <bgColor theme="0"/>
          </patternFill>
        </fill>
      </dxf>
    </rfmt>
  </rrc>
  <rcc rId="5825" sId="1">
    <oc r="A119" t="inlineStr">
      <is>
        <t>Капитальные вложения в объекты государственной (муниципальной) собственности</t>
      </is>
    </oc>
    <nc r="A119"/>
  </rcc>
  <rcc rId="5826" sId="1">
    <oc r="B119" t="inlineStr">
      <is>
        <t>03 2 00 80450</t>
      </is>
    </oc>
    <nc r="B119"/>
  </rcc>
  <rcc rId="5827" sId="1">
    <oc r="C119">
      <v>400</v>
    </oc>
    <nc r="C119"/>
  </rcc>
  <rcc rId="5828" sId="1">
    <oc r="D119">
      <f>D120</f>
    </oc>
    <nc r="D119"/>
  </rcc>
  <rcc rId="5829" sId="1">
    <oc r="E119">
      <f>E120</f>
    </oc>
    <nc r="E119"/>
  </rcc>
  <rcc rId="5830" sId="1">
    <oc r="F119">
      <f>F120</f>
    </oc>
    <nc r="F119"/>
  </rcc>
  <rcc rId="5831" sId="1">
    <oc r="A120" t="inlineStr">
      <is>
        <t>Бюджетные инвестиции</t>
      </is>
    </oc>
    <nc r="A120"/>
  </rcc>
  <rcc rId="5832" sId="1">
    <oc r="B120" t="inlineStr">
      <is>
        <t>03 2 00 80450</t>
      </is>
    </oc>
    <nc r="B120"/>
  </rcc>
  <rcc rId="5833" sId="1">
    <oc r="C120">
      <v>410</v>
    </oc>
    <nc r="C120"/>
  </rcc>
  <rcc rId="5834" sId="1">
    <oc r="D120">
      <f>D121</f>
    </oc>
    <nc r="D120"/>
  </rcc>
  <rcc rId="5835" sId="1">
    <oc r="E120">
      <f>E121</f>
    </oc>
    <nc r="E120"/>
  </rcc>
  <rcc rId="5836" sId="1">
    <oc r="F120">
      <f>F121</f>
    </oc>
    <nc r="F120"/>
  </rcc>
  <rcc rId="5837" sId="1">
    <oc r="A121" t="inlineStr">
      <is>
        <t>Бюджетные инвестиции в объекты капитального строительства государственной (муниципальной) собственности</t>
      </is>
    </oc>
    <nc r="A121"/>
  </rcc>
  <rcc rId="5838" sId="1">
    <oc r="B121" t="inlineStr">
      <is>
        <t>03 2 00 80450</t>
      </is>
    </oc>
    <nc r="B121"/>
  </rcc>
  <rcc rId="5839" sId="1">
    <oc r="C121">
      <v>414</v>
    </oc>
    <nc r="C121"/>
  </rcc>
  <rcc rId="5840" sId="1" numFmtId="34">
    <oc r="D121">
      <v>884950.51</v>
    </oc>
    <nc r="D121"/>
  </rcc>
  <rcc rId="5841" sId="1" numFmtId="34">
    <oc r="E121">
      <v>0</v>
    </oc>
    <nc r="E121"/>
  </rcc>
  <rcc rId="5842" sId="1">
    <oc r="A118" t="inlineStr">
      <is>
        <t>Мероприятия в области образования</t>
      </is>
    </oc>
    <nc r="A118"/>
  </rcc>
  <rcc rId="5843" sId="1">
    <oc r="B118" t="inlineStr">
      <is>
        <t>03 2 00 80450</t>
      </is>
    </oc>
    <nc r="B118"/>
  </rcc>
  <rcc rId="5844" sId="1">
    <oc r="D118">
      <f>D119</f>
    </oc>
    <nc r="D118"/>
  </rcc>
  <rcc rId="5845" sId="1">
    <oc r="E118">
      <f>E119</f>
    </oc>
    <nc r="E118"/>
  </rcc>
  <rcc rId="5846" sId="1">
    <oc r="F118">
      <f>F119</f>
    </oc>
    <nc r="F118"/>
  </rcc>
  <rrc rId="5847" sId="1" ref="A117:XFD125" action="insertRow">
    <undo index="0" exp="area" ref3D="1" dr="$A$260:$XFD$268" dn="Z_30E81E54_DD45_4653_9DCD_548F6723F554_.wvu.Rows" sId="1"/>
  </rrc>
  <rm rId="5848" sheetId="1" source="A63:XFD71" destination="A117:XFD125" sourceSheetId="1">
    <rfmt sheetId="1" xfDxf="1" sqref="A117:XFD117" start="0" length="0">
      <dxf>
        <font>
          <name val="Times New Roman"/>
          <scheme val="none"/>
        </font>
        <alignment vertical="center" readingOrder="0"/>
      </dxf>
    </rfmt>
    <rfmt sheetId="1" xfDxf="1" sqref="A118:XFD118" start="0" length="0">
      <dxf>
        <font>
          <name val="Times New Roman"/>
          <scheme val="none"/>
        </font>
        <alignment vertical="center" readingOrder="0"/>
      </dxf>
    </rfmt>
    <rfmt sheetId="1" xfDxf="1" sqref="A119:XFD119" start="0" length="0">
      <dxf>
        <font>
          <name val="Times New Roman"/>
          <scheme val="none"/>
        </font>
        <alignment vertical="center" readingOrder="0"/>
      </dxf>
    </rfmt>
    <rfmt sheetId="1" xfDxf="1" sqref="A120:XFD120" start="0" length="0">
      <dxf>
        <font>
          <name val="Times New Roman"/>
          <scheme val="none"/>
        </font>
        <alignment vertical="center" readingOrder="0"/>
      </dxf>
    </rfmt>
    <rfmt sheetId="1" xfDxf="1" sqref="A121:XFD121" start="0" length="0">
      <dxf>
        <font>
          <name val="Times New Roman"/>
          <scheme val="none"/>
        </font>
        <alignment vertical="center" readingOrder="0"/>
      </dxf>
    </rfmt>
    <rfmt sheetId="1" xfDxf="1" sqref="A122:XFD122" start="0" length="0">
      <dxf>
        <font>
          <name val="Times New Roman"/>
          <scheme val="none"/>
        </font>
        <alignment vertical="center" readingOrder="0"/>
      </dxf>
    </rfmt>
    <rfmt sheetId="1" xfDxf="1" sqref="A123:XFD123" start="0" length="0">
      <dxf>
        <font>
          <name val="Times New Roman"/>
          <scheme val="none"/>
        </font>
        <alignment vertical="center" readingOrder="0"/>
      </dxf>
    </rfmt>
    <rfmt sheetId="1" xfDxf="1" sqref="A124:XFD124" start="0" length="0">
      <dxf>
        <font>
          <name val="Times New Roman"/>
          <scheme val="none"/>
        </font>
        <alignment vertical="center" readingOrder="0"/>
      </dxf>
    </rfmt>
    <rfmt sheetId="1" xfDxf="1" sqref="A125:XFD125" start="0" length="0">
      <dxf>
        <font>
          <name val="Times New Roman"/>
          <scheme val="none"/>
        </font>
        <alignment vertical="center" readingOrder="0"/>
      </dxf>
    </rfmt>
    <rfmt sheetId="1" sqref="A117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7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7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7" start="0" length="0">
      <dxf>
        <fill>
          <patternFill patternType="solid">
            <bgColor theme="0"/>
          </patternFill>
        </fill>
      </dxf>
    </rfmt>
    <rfmt sheetId="1" sqref="H117" start="0" length="0">
      <dxf>
        <fill>
          <patternFill patternType="solid">
            <bgColor theme="0"/>
          </patternFill>
        </fill>
      </dxf>
    </rfmt>
    <rfmt sheetId="1" sqref="I117" start="0" length="0">
      <dxf>
        <fill>
          <patternFill patternType="solid">
            <bgColor theme="0"/>
          </patternFill>
        </fill>
      </dxf>
    </rfmt>
    <rfmt sheetId="1" sqref="J117" start="0" length="0">
      <dxf>
        <fill>
          <patternFill patternType="solid">
            <bgColor theme="0"/>
          </patternFill>
        </fill>
      </dxf>
    </rfmt>
    <rfmt sheetId="1" sqref="A118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1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1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1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ill>
          <patternFill patternType="solid">
            <bgColor theme="0"/>
          </patternFill>
        </fill>
      </dxf>
    </rfmt>
    <rfmt sheetId="1" sqref="H118" start="0" length="0">
      <dxf>
        <fill>
          <patternFill patternType="solid">
            <bgColor theme="0"/>
          </patternFill>
        </fill>
      </dxf>
    </rfmt>
    <rfmt sheetId="1" sqref="I118" start="0" length="0">
      <dxf>
        <fill>
          <patternFill patternType="solid">
            <bgColor theme="0"/>
          </patternFill>
        </fill>
      </dxf>
    </rfmt>
    <rfmt sheetId="1" sqref="J118" start="0" length="0">
      <dxf>
        <fill>
          <patternFill patternType="solid">
            <bgColor theme="0"/>
          </patternFill>
        </fill>
      </dxf>
    </rfmt>
    <rfmt sheetId="1" sqref="A119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19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19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19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ill>
          <patternFill patternType="solid">
            <bgColor theme="0"/>
          </patternFill>
        </fill>
      </dxf>
    </rfmt>
    <rfmt sheetId="1" sqref="H119" start="0" length="0">
      <dxf>
        <fill>
          <patternFill patternType="solid">
            <bgColor theme="0"/>
          </patternFill>
        </fill>
      </dxf>
    </rfmt>
    <rfmt sheetId="1" sqref="I119" start="0" length="0">
      <dxf>
        <fill>
          <patternFill patternType="solid">
            <bgColor theme="0"/>
          </patternFill>
        </fill>
      </dxf>
    </rfmt>
    <rfmt sheetId="1" sqref="J119" start="0" length="0">
      <dxf>
        <fill>
          <patternFill patternType="solid">
            <bgColor theme="0"/>
          </patternFill>
        </fill>
      </dxf>
    </rfmt>
    <rfmt sheetId="1" sqref="A120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0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0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0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ill>
          <patternFill patternType="solid">
            <bgColor theme="0"/>
          </patternFill>
        </fill>
      </dxf>
    </rfmt>
    <rfmt sheetId="1" sqref="H120" start="0" length="0">
      <dxf>
        <fill>
          <patternFill patternType="solid">
            <bgColor theme="0"/>
          </patternFill>
        </fill>
      </dxf>
    </rfmt>
    <rfmt sheetId="1" sqref="I120" start="0" length="0">
      <dxf>
        <fill>
          <patternFill patternType="solid">
            <bgColor theme="0"/>
          </patternFill>
        </fill>
      </dxf>
    </rfmt>
    <rfmt sheetId="1" sqref="J120" start="0" length="0">
      <dxf>
        <fill>
          <patternFill patternType="solid">
            <bgColor theme="0"/>
          </patternFill>
        </fill>
      </dxf>
    </rfmt>
    <rfmt sheetId="1" sqref="A121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1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1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ill>
          <patternFill patternType="solid">
            <bgColor theme="0"/>
          </patternFill>
        </fill>
      </dxf>
    </rfmt>
    <rfmt sheetId="1" sqref="H121" start="0" length="0">
      <dxf>
        <fill>
          <patternFill patternType="solid">
            <bgColor theme="0"/>
          </patternFill>
        </fill>
      </dxf>
    </rfmt>
    <rfmt sheetId="1" sqref="I121" start="0" length="0">
      <dxf>
        <fill>
          <patternFill patternType="solid">
            <bgColor theme="0"/>
          </patternFill>
        </fill>
      </dxf>
    </rfmt>
    <rfmt sheetId="1" sqref="J121" start="0" length="0">
      <dxf>
        <fill>
          <patternFill patternType="solid">
            <bgColor theme="0"/>
          </patternFill>
        </fill>
      </dxf>
    </rfmt>
    <rfmt sheetId="1" sqref="A122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ill>
          <patternFill patternType="solid">
            <bgColor theme="0"/>
          </patternFill>
        </fill>
      </dxf>
    </rfmt>
    <rfmt sheetId="1" sqref="H122" start="0" length="0">
      <dxf>
        <fill>
          <patternFill patternType="solid">
            <bgColor theme="0"/>
          </patternFill>
        </fill>
      </dxf>
    </rfmt>
    <rfmt sheetId="1" sqref="I122" start="0" length="0">
      <dxf>
        <fill>
          <patternFill patternType="solid">
            <bgColor theme="0"/>
          </patternFill>
        </fill>
      </dxf>
    </rfmt>
    <rfmt sheetId="1" sqref="J122" start="0" length="0">
      <dxf>
        <fill>
          <patternFill patternType="solid">
            <bgColor theme="0"/>
          </patternFill>
        </fill>
      </dxf>
    </rfmt>
    <rfmt sheetId="1" sqref="A123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3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3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3" start="0" length="0">
      <dxf>
        <fill>
          <patternFill patternType="solid">
            <bgColor theme="0"/>
          </patternFill>
        </fill>
      </dxf>
    </rfmt>
    <rfmt sheetId="1" sqref="H123" start="0" length="0">
      <dxf>
        <fill>
          <patternFill patternType="solid">
            <bgColor theme="0"/>
          </patternFill>
        </fill>
      </dxf>
    </rfmt>
    <rfmt sheetId="1" sqref="I123" start="0" length="0">
      <dxf>
        <fill>
          <patternFill patternType="solid">
            <bgColor theme="0"/>
          </patternFill>
        </fill>
      </dxf>
    </rfmt>
    <rfmt sheetId="1" sqref="J123" start="0" length="0">
      <dxf>
        <fill>
          <patternFill patternType="solid">
            <bgColor theme="0"/>
          </patternFill>
        </fill>
      </dxf>
    </rfmt>
    <rfmt sheetId="1" sqref="A124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4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4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4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ill>
          <patternFill patternType="solid">
            <bgColor theme="0"/>
          </patternFill>
        </fill>
      </dxf>
    </rfmt>
    <rfmt sheetId="1" sqref="H124" start="0" length="0">
      <dxf>
        <fill>
          <patternFill patternType="solid">
            <bgColor theme="0"/>
          </patternFill>
        </fill>
      </dxf>
    </rfmt>
    <rfmt sheetId="1" sqref="I124" start="0" length="0">
      <dxf>
        <fill>
          <patternFill patternType="solid">
            <bgColor theme="0"/>
          </patternFill>
        </fill>
      </dxf>
    </rfmt>
    <rfmt sheetId="1" sqref="J124" start="0" length="0">
      <dxf>
        <fill>
          <patternFill patternType="solid">
            <bgColor theme="0"/>
          </patternFill>
        </fill>
      </dxf>
    </rfmt>
    <rfmt sheetId="1" sqref="A125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5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5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5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ill>
          <patternFill patternType="solid">
            <bgColor theme="0"/>
          </patternFill>
        </fill>
      </dxf>
    </rfmt>
    <rfmt sheetId="1" sqref="H125" start="0" length="0">
      <dxf>
        <fill>
          <patternFill patternType="solid">
            <bgColor theme="0"/>
          </patternFill>
        </fill>
      </dxf>
    </rfmt>
    <rfmt sheetId="1" sqref="I125" start="0" length="0">
      <dxf>
        <fill>
          <patternFill patternType="solid">
            <bgColor theme="0"/>
          </patternFill>
        </fill>
      </dxf>
    </rfmt>
    <rfmt sheetId="1" sqref="J125" start="0" length="0">
      <dxf>
        <fill>
          <patternFill patternType="solid">
            <bgColor theme="0"/>
          </patternFill>
        </fill>
      </dxf>
    </rfmt>
  </rm>
  <rrc rId="5849" sId="1" ref="A63:XFD63" action="deleteRow">
    <undo index="0" exp="area" ref3D="1" dr="$A$269:$XFD$277" dn="Z_30E81E54_DD45_4653_9DCD_548F6723F554_.wvu.Rows" sId="1"/>
    <rfmt sheetId="1" xfDxf="1" sqref="A63:XFD63" start="0" length="0">
      <dxf>
        <font>
          <sz val="11"/>
          <name val="Times New Roman"/>
          <scheme val="none"/>
        </font>
        <alignment vertical="center" readingOrder="0"/>
      </dxf>
    </rfmt>
    <rfmt sheetId="1" sqref="A63" start="0" length="0">
      <dxf>
        <fill>
          <patternFill patternType="solid">
            <bgColor rgb="FFFFFF00"/>
          </patternFill>
        </fill>
      </dxf>
    </rfmt>
    <rfmt sheetId="1" sqref="B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63" start="0" length="0">
      <dxf>
        <fill>
          <patternFill patternType="solid">
            <bgColor theme="0"/>
          </patternFill>
        </fill>
      </dxf>
    </rfmt>
    <rfmt sheetId="1" sqref="H63" start="0" length="0">
      <dxf>
        <fill>
          <patternFill patternType="solid">
            <bgColor theme="0"/>
          </patternFill>
        </fill>
      </dxf>
    </rfmt>
    <rfmt sheetId="1" sqref="I63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</rrc>
  <rrc rId="5850" sId="1" ref="A63:XFD63" action="deleteRow">
    <undo index="0" exp="area" ref3D="1" dr="$A$268:$XFD$276" dn="Z_30E81E54_DD45_4653_9DCD_548F6723F554_.wvu.Rows" sId="1"/>
    <rfmt sheetId="1" xfDxf="1" sqref="A63:XFD63" start="0" length="0">
      <dxf>
        <font>
          <sz val="11"/>
          <name val="Times New Roman"/>
          <scheme val="none"/>
        </font>
        <alignment vertical="center" readingOrder="0"/>
      </dxf>
    </rfmt>
    <rfmt sheetId="1" sqref="A63" start="0" length="0">
      <dxf>
        <fill>
          <patternFill patternType="solid">
            <bgColor rgb="FFFFFF00"/>
          </patternFill>
        </fill>
      </dxf>
    </rfmt>
    <rfmt sheetId="1" sqref="B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63" start="0" length="0">
      <dxf>
        <fill>
          <patternFill patternType="solid">
            <bgColor theme="0"/>
          </patternFill>
        </fill>
      </dxf>
    </rfmt>
    <rfmt sheetId="1" sqref="H63" start="0" length="0">
      <dxf>
        <fill>
          <patternFill patternType="solid">
            <bgColor theme="0"/>
          </patternFill>
        </fill>
      </dxf>
    </rfmt>
    <rfmt sheetId="1" sqref="I63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</rrc>
  <rrc rId="5851" sId="1" ref="A63:XFD63" action="deleteRow">
    <undo index="0" exp="area" ref3D="1" dr="$A$267:$XFD$275" dn="Z_30E81E54_DD45_4653_9DCD_548F6723F554_.wvu.Rows" sId="1"/>
    <rfmt sheetId="1" xfDxf="1" sqref="A63:XFD63" start="0" length="0">
      <dxf>
        <font>
          <sz val="11"/>
          <name val="Times New Roman"/>
          <scheme val="none"/>
        </font>
        <alignment vertical="center" readingOrder="0"/>
      </dxf>
    </rfmt>
    <rfmt sheetId="1" sqref="A63" start="0" length="0">
      <dxf>
        <fill>
          <patternFill patternType="solid">
            <bgColor rgb="FFFFFF00"/>
          </patternFill>
        </fill>
      </dxf>
    </rfmt>
    <rfmt sheetId="1" sqref="B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63" start="0" length="0">
      <dxf>
        <fill>
          <patternFill patternType="solid">
            <bgColor theme="0"/>
          </patternFill>
        </fill>
      </dxf>
    </rfmt>
    <rfmt sheetId="1" sqref="H63" start="0" length="0">
      <dxf>
        <fill>
          <patternFill patternType="solid">
            <bgColor theme="0"/>
          </patternFill>
        </fill>
      </dxf>
    </rfmt>
    <rfmt sheetId="1" sqref="I63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</rrc>
  <rrc rId="5852" sId="1" ref="A63:XFD63" action="deleteRow">
    <undo index="0" exp="area" ref3D="1" dr="$A$266:$XFD$274" dn="Z_30E81E54_DD45_4653_9DCD_548F6723F554_.wvu.Rows" sId="1"/>
    <rfmt sheetId="1" xfDxf="1" sqref="A63:XFD63" start="0" length="0">
      <dxf>
        <font>
          <sz val="11"/>
          <name val="Times New Roman"/>
          <scheme val="none"/>
        </font>
        <alignment vertical="center" readingOrder="0"/>
      </dxf>
    </rfmt>
    <rfmt sheetId="1" sqref="A63" start="0" length="0">
      <dxf>
        <fill>
          <patternFill patternType="solid">
            <bgColor rgb="FFFFFF00"/>
          </patternFill>
        </fill>
      </dxf>
    </rfmt>
    <rfmt sheetId="1" sqref="B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63" start="0" length="0">
      <dxf>
        <fill>
          <patternFill patternType="solid">
            <bgColor theme="0"/>
          </patternFill>
        </fill>
      </dxf>
    </rfmt>
    <rfmt sheetId="1" sqref="H63" start="0" length="0">
      <dxf>
        <fill>
          <patternFill patternType="solid">
            <bgColor theme="0"/>
          </patternFill>
        </fill>
      </dxf>
    </rfmt>
    <rfmt sheetId="1" sqref="I63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</rrc>
  <rrc rId="5853" sId="1" ref="A63:XFD63" action="deleteRow">
    <undo index="0" exp="area" ref3D="1" dr="$A$265:$XFD$273" dn="Z_30E81E54_DD45_4653_9DCD_548F6723F554_.wvu.Rows" sId="1"/>
    <rfmt sheetId="1" xfDxf="1" sqref="A63:XFD63" start="0" length="0">
      <dxf>
        <font>
          <sz val="11"/>
          <name val="Times New Roman"/>
          <scheme val="none"/>
        </font>
        <alignment vertical="center" readingOrder="0"/>
      </dxf>
    </rfmt>
    <rfmt sheetId="1" sqref="A63" start="0" length="0">
      <dxf>
        <fill>
          <patternFill patternType="solid">
            <bgColor rgb="FFFFFF00"/>
          </patternFill>
        </fill>
      </dxf>
    </rfmt>
    <rfmt sheetId="1" sqref="B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63" start="0" length="0">
      <dxf>
        <fill>
          <patternFill patternType="solid">
            <bgColor theme="0"/>
          </patternFill>
        </fill>
      </dxf>
    </rfmt>
    <rfmt sheetId="1" sqref="H63" start="0" length="0">
      <dxf>
        <fill>
          <patternFill patternType="solid">
            <bgColor theme="0"/>
          </patternFill>
        </fill>
      </dxf>
    </rfmt>
    <rfmt sheetId="1" sqref="I63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</rrc>
  <rrc rId="5854" sId="1" ref="A63:XFD63" action="deleteRow">
    <undo index="0" exp="area" ref3D="1" dr="$A$264:$XFD$272" dn="Z_30E81E54_DD45_4653_9DCD_548F6723F554_.wvu.Rows" sId="1"/>
    <rfmt sheetId="1" xfDxf="1" sqref="A63:XFD63" start="0" length="0">
      <dxf>
        <font>
          <sz val="11"/>
          <name val="Times New Roman"/>
          <scheme val="none"/>
        </font>
        <alignment vertical="center" readingOrder="0"/>
      </dxf>
    </rfmt>
    <rfmt sheetId="1" sqref="A63" start="0" length="0">
      <dxf>
        <fill>
          <patternFill patternType="solid">
            <bgColor rgb="FFFFFF00"/>
          </patternFill>
        </fill>
      </dxf>
    </rfmt>
    <rfmt sheetId="1" sqref="B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63" start="0" length="0">
      <dxf>
        <fill>
          <patternFill patternType="solid">
            <bgColor theme="0"/>
          </patternFill>
        </fill>
      </dxf>
    </rfmt>
    <rfmt sheetId="1" sqref="H63" start="0" length="0">
      <dxf>
        <fill>
          <patternFill patternType="solid">
            <bgColor theme="0"/>
          </patternFill>
        </fill>
      </dxf>
    </rfmt>
    <rfmt sheetId="1" sqref="I63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</rrc>
  <rrc rId="5855" sId="1" ref="A63:XFD63" action="deleteRow">
    <undo index="0" exp="area" ref3D="1" dr="$A$263:$XFD$271" dn="Z_30E81E54_DD45_4653_9DCD_548F6723F554_.wvu.Rows" sId="1"/>
    <rfmt sheetId="1" xfDxf="1" sqref="A63:XFD63" start="0" length="0">
      <dxf>
        <font>
          <sz val="11"/>
          <name val="Times New Roman"/>
          <scheme val="none"/>
        </font>
        <alignment vertical="center" readingOrder="0"/>
      </dxf>
    </rfmt>
    <rfmt sheetId="1" sqref="A63" start="0" length="0">
      <dxf>
        <fill>
          <patternFill patternType="solid">
            <bgColor rgb="FFFFFF00"/>
          </patternFill>
        </fill>
      </dxf>
    </rfmt>
    <rfmt sheetId="1" sqref="B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63" start="0" length="0">
      <dxf>
        <fill>
          <patternFill patternType="solid">
            <bgColor theme="0"/>
          </patternFill>
        </fill>
      </dxf>
    </rfmt>
    <rfmt sheetId="1" sqref="H63" start="0" length="0">
      <dxf>
        <fill>
          <patternFill patternType="solid">
            <bgColor theme="0"/>
          </patternFill>
        </fill>
      </dxf>
    </rfmt>
    <rfmt sheetId="1" sqref="I63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</rrc>
  <rrc rId="5856" sId="1" ref="A63:XFD63" action="deleteRow">
    <undo index="0" exp="area" ref3D="1" dr="$A$262:$XFD$270" dn="Z_30E81E54_DD45_4653_9DCD_548F6723F554_.wvu.Rows" sId="1"/>
    <rfmt sheetId="1" xfDxf="1" sqref="A63:XFD63" start="0" length="0">
      <dxf>
        <font>
          <sz val="11"/>
          <name val="Times New Roman"/>
          <scheme val="none"/>
        </font>
        <alignment vertical="center" readingOrder="0"/>
      </dxf>
    </rfmt>
    <rfmt sheetId="1" sqref="A63" start="0" length="0">
      <dxf>
        <fill>
          <patternFill patternType="solid">
            <bgColor rgb="FFFFFF00"/>
          </patternFill>
        </fill>
      </dxf>
    </rfmt>
    <rfmt sheetId="1" sqref="B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63" start="0" length="0">
      <dxf>
        <fill>
          <patternFill patternType="solid">
            <bgColor theme="0"/>
          </patternFill>
        </fill>
      </dxf>
    </rfmt>
    <rfmt sheetId="1" sqref="H63" start="0" length="0">
      <dxf>
        <fill>
          <patternFill patternType="solid">
            <bgColor theme="0"/>
          </patternFill>
        </fill>
      </dxf>
    </rfmt>
    <rfmt sheetId="1" sqref="I63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</rrc>
  <rrc rId="5857" sId="1" ref="A63:XFD63" action="deleteRow">
    <undo index="0" exp="area" ref3D="1" dr="$A$261:$XFD$269" dn="Z_30E81E54_DD45_4653_9DCD_548F6723F554_.wvu.Rows" sId="1"/>
    <rfmt sheetId="1" xfDxf="1" sqref="A63:XFD63" start="0" length="0">
      <dxf>
        <font>
          <sz val="11"/>
          <name val="Times New Roman"/>
          <scheme val="none"/>
        </font>
        <alignment vertical="center" readingOrder="0"/>
      </dxf>
    </rfmt>
    <rfmt sheetId="1" sqref="A63" start="0" length="0">
      <dxf>
        <fill>
          <patternFill patternType="solid">
            <bgColor rgb="FFFFFF00"/>
          </patternFill>
        </fill>
      </dxf>
    </rfmt>
    <rfmt sheetId="1" sqref="B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63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6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63" start="0" length="0">
      <dxf>
        <fill>
          <patternFill patternType="solid">
            <bgColor theme="0"/>
          </patternFill>
        </fill>
      </dxf>
    </rfmt>
    <rfmt sheetId="1" sqref="H63" start="0" length="0">
      <dxf>
        <fill>
          <patternFill patternType="solid">
            <bgColor theme="0"/>
          </patternFill>
        </fill>
      </dxf>
    </rfmt>
    <rfmt sheetId="1" sqref="I63" start="0" length="0">
      <dxf>
        <fill>
          <patternFill patternType="solid">
            <bgColor theme="0"/>
          </patternFill>
        </fill>
      </dxf>
    </rfmt>
    <rfmt sheetId="1" sqref="J63" start="0" length="0">
      <dxf>
        <fill>
          <patternFill patternType="solid">
            <bgColor theme="0"/>
          </patternFill>
        </fill>
      </dxf>
    </rfmt>
  </rrc>
  <rrc rId="5858" sId="1" ref="A117:XFD117" action="deleteRow">
    <undo index="15" exp="ref" v="1" dr="F117" r="F58" sId="1"/>
    <undo index="15" exp="ref" v="1" dr="E117" r="E58" sId="1"/>
    <undo index="15" exp="ref" v="1" dr="D117" r="D58" sId="1"/>
    <undo index="0" exp="area" ref3D="1" dr="$A$260:$XFD$268" dn="Z_30E81E54_DD45_4653_9DCD_548F6723F554_.wvu.Rows" sId="1"/>
    <rfmt sheetId="1" xfDxf="1" sqref="A117:XFD117" start="0" length="0">
      <dxf>
        <font>
          <sz val="11"/>
          <name val="Times New Roman"/>
          <scheme val="none"/>
        </font>
        <alignment vertical="center" readingOrder="0"/>
      </dxf>
    </rfmt>
    <rcc rId="0" sId="1" dxf="1">
      <nc r="A117" t="inlineStr">
        <is>
          <t>Подпрограмма "Развитие общего образования детей"</t>
        </is>
      </nc>
      <ndxf>
        <font>
          <sz val="11"/>
          <name val="Times New Roman"/>
          <scheme val="none"/>
        </font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7" t="inlineStr">
        <is>
          <t>03 2 Е1 00000</t>
        </is>
      </nc>
      <ndxf>
        <font>
          <sz val="11"/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7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7">
        <f>D118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7">
        <f>E118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7">
        <f>F118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7" start="0" length="0">
      <dxf>
        <fill>
          <patternFill patternType="solid">
            <bgColor theme="0"/>
          </patternFill>
        </fill>
      </dxf>
    </rfmt>
    <rfmt sheetId="1" sqref="H117" start="0" length="0">
      <dxf>
        <fill>
          <patternFill patternType="solid">
            <bgColor theme="0"/>
          </patternFill>
        </fill>
      </dxf>
    </rfmt>
    <rfmt sheetId="1" sqref="I117" start="0" length="0">
      <dxf>
        <fill>
          <patternFill patternType="solid">
            <bgColor theme="0"/>
          </patternFill>
        </fill>
      </dxf>
    </rfmt>
    <rfmt sheetId="1" sqref="J117" start="0" length="0">
      <dxf>
        <fill>
          <patternFill patternType="solid">
            <bgColor theme="0"/>
          </patternFill>
        </fill>
      </dxf>
    </rfmt>
  </rrc>
  <rrc rId="5859" sId="1" ref="A117:XFD117" action="deleteRow">
    <undo index="0" exp="area" ref3D="1" dr="$A$259:$XFD$267" dn="Z_30E81E54_DD45_4653_9DCD_548F6723F554_.wvu.Rows" sId="1"/>
    <rfmt sheetId="1" xfDxf="1" sqref="A117:XFD117" start="0" length="0">
      <dxf>
        <font>
          <name val="Times New Roman"/>
          <scheme val="none"/>
        </font>
        <alignment vertical="center" readingOrder="0"/>
      </dxf>
    </rfmt>
    <rfmt sheetId="1" sqref="A117" start="0" length="0">
      <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117" start="0" length="0">
      <dxf>
        <font>
          <name val="Times New Roman Cyr"/>
          <scheme val="none"/>
        </font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dxf>
    </rfmt>
    <rfmt sheetId="1" sqref="C117" start="0" length="0">
      <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7" start="0" length="0">
      <dxf>
        <fill>
          <patternFill patternType="solid">
            <bgColor theme="0"/>
          </patternFill>
        </fill>
      </dxf>
    </rfmt>
    <rfmt sheetId="1" sqref="H117" start="0" length="0">
      <dxf>
        <fill>
          <patternFill patternType="solid">
            <bgColor theme="0"/>
          </patternFill>
        </fill>
      </dxf>
    </rfmt>
    <rfmt sheetId="1" sqref="I117" start="0" length="0">
      <dxf>
        <fill>
          <patternFill patternType="solid">
            <bgColor theme="0"/>
          </patternFill>
        </fill>
      </dxf>
    </rfmt>
    <rfmt sheetId="1" sqref="J117" start="0" length="0">
      <dxf>
        <fill>
          <patternFill patternType="solid">
            <bgColor theme="0"/>
          </patternFill>
        </fill>
      </dxf>
    </rfmt>
  </rrc>
  <rrc rId="5860" sId="1" ref="A117:XFD117" action="deleteRow">
    <undo index="0" exp="area" ref3D="1" dr="$A$258:$XFD$266" dn="Z_30E81E54_DD45_4653_9DCD_548F6723F554_.wvu.Rows" sId="1"/>
    <rfmt sheetId="1" xfDxf="1" sqref="A117:XFD117" start="0" length="0">
      <dxf>
        <font>
          <name val="Times New Roman"/>
          <scheme val="none"/>
        </font>
        <alignment vertical="center" readingOrder="0"/>
      </dxf>
    </rfmt>
    <rfmt sheetId="1" sqref="A117" start="0" length="0">
      <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117" start="0" length="0">
      <dxf>
        <font>
          <name val="Times New Roman Cyr"/>
          <scheme val="none"/>
        </font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dxf>
    </rfmt>
    <rfmt sheetId="1" sqref="C117" start="0" length="0">
      <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7" start="0" length="0">
      <dxf>
        <fill>
          <patternFill patternType="solid">
            <bgColor theme="0"/>
          </patternFill>
        </fill>
      </dxf>
    </rfmt>
    <rfmt sheetId="1" sqref="H117" start="0" length="0">
      <dxf>
        <fill>
          <patternFill patternType="solid">
            <bgColor theme="0"/>
          </patternFill>
        </fill>
      </dxf>
    </rfmt>
    <rfmt sheetId="1" sqref="I117" start="0" length="0">
      <dxf>
        <fill>
          <patternFill patternType="solid">
            <bgColor theme="0"/>
          </patternFill>
        </fill>
      </dxf>
    </rfmt>
    <rfmt sheetId="1" sqref="J117" start="0" length="0">
      <dxf>
        <fill>
          <patternFill patternType="solid">
            <bgColor theme="0"/>
          </patternFill>
        </fill>
      </dxf>
    </rfmt>
  </rrc>
  <rrc rId="5861" sId="1" ref="A117:XFD117" action="deleteRow">
    <undo index="0" exp="area" ref3D="1" dr="$A$257:$XFD$265" dn="Z_30E81E54_DD45_4653_9DCD_548F6723F554_.wvu.Rows" sId="1"/>
    <rfmt sheetId="1" xfDxf="1" sqref="A117:XFD117" start="0" length="0">
      <dxf>
        <font>
          <name val="Times New Roman"/>
          <scheme val="none"/>
        </font>
        <alignment vertical="center" readingOrder="0"/>
      </dxf>
    </rfmt>
    <rfmt sheetId="1" sqref="A117" start="0" length="0">
      <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117" start="0" length="0">
      <dxf>
        <font>
          <name val="Times New Roman Cyr"/>
          <scheme val="none"/>
        </font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dxf>
    </rfmt>
    <rfmt sheetId="1" sqref="C117" start="0" length="0">
      <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7" start="0" length="0">
      <dxf>
        <fill>
          <patternFill patternType="solid">
            <bgColor theme="0"/>
          </patternFill>
        </fill>
      </dxf>
    </rfmt>
    <rfmt sheetId="1" sqref="H117" start="0" length="0">
      <dxf>
        <fill>
          <patternFill patternType="solid">
            <bgColor theme="0"/>
          </patternFill>
        </fill>
      </dxf>
    </rfmt>
    <rfmt sheetId="1" sqref="I117" start="0" length="0">
      <dxf>
        <fill>
          <patternFill patternType="solid">
            <bgColor theme="0"/>
          </patternFill>
        </fill>
      </dxf>
    </rfmt>
    <rfmt sheetId="1" sqref="J117" start="0" length="0">
      <dxf>
        <fill>
          <patternFill patternType="solid">
            <bgColor theme="0"/>
          </patternFill>
        </fill>
      </dxf>
    </rfmt>
  </rrc>
  <rrc rId="5862" sId="1" ref="A117:XFD117" action="deleteRow">
    <undo index="0" exp="area" ref3D="1" dr="$A$256:$XFD$264" dn="Z_30E81E54_DD45_4653_9DCD_548F6723F554_.wvu.Rows" sId="1"/>
    <rfmt sheetId="1" xfDxf="1" sqref="A117:XFD117" start="0" length="0">
      <dxf>
        <font>
          <name val="Times New Roman"/>
          <scheme val="none"/>
        </font>
        <alignment vertical="center" readingOrder="0"/>
      </dxf>
    </rfmt>
    <rfmt sheetId="1" sqref="A117" start="0" length="0">
      <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117" start="0" length="0">
      <dxf>
        <font>
          <name val="Times New Roman Cyr"/>
          <scheme val="none"/>
        </font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dxf>
    </rfmt>
    <rfmt sheetId="1" sqref="C117" start="0" length="0">
      <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1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7" start="0" length="0">
      <dxf>
        <fill>
          <patternFill patternType="solid">
            <bgColor theme="0"/>
          </patternFill>
        </fill>
      </dxf>
    </rfmt>
    <rfmt sheetId="1" sqref="H117" start="0" length="0">
      <dxf>
        <fill>
          <patternFill patternType="solid">
            <bgColor theme="0"/>
          </patternFill>
        </fill>
      </dxf>
    </rfmt>
    <rfmt sheetId="1" sqref="I117" start="0" length="0">
      <dxf>
        <fill>
          <patternFill patternType="solid">
            <bgColor theme="0"/>
          </patternFill>
        </fill>
      </dxf>
    </rfmt>
    <rfmt sheetId="1" sqref="J117" start="0" length="0">
      <dxf>
        <fill>
          <patternFill patternType="solid">
            <bgColor theme="0"/>
          </patternFill>
        </fill>
      </dxf>
    </rfmt>
  </rrc>
  <rcc rId="5863" sId="1">
    <oc r="D58">
      <f>D72+D76+D88+D97+D123+D127+D101+D109+D113+D105+D118+D80+D63+D84+D68+D59</f>
    </oc>
    <nc r="D58">
      <f>D67+D71+D83+D92+D117+D121+D96+D104+D100+D75+D108+D79+D63+D59+D88</f>
    </nc>
  </rcc>
  <rcc rId="5864" sId="1">
    <oc r="E58">
      <f>E72+E76+E88+E97+E123+E127+E101+E109+E113+E105+E118+E80+E63+E84+E68+E59</f>
    </oc>
    <nc r="E58">
      <f>E67+E71+E83+E92+E117+E121+E96+E104+E100+E75+E108+E79+E63+E59+E88</f>
    </nc>
  </rcc>
  <rcc rId="5865" sId="1">
    <oc r="F58">
      <f>F72+F76+F88+F97+F123+F127+F101+F109+F113+F105+F118+F80+F63+F84+F68+F59</f>
    </oc>
    <nc r="F58">
      <f>F67+F71+F83+F92+F117+F121+F96+F104+F100+F75+F108+F79+F63+F59+F88</f>
    </nc>
  </rcc>
  <rrc rId="5866" sId="1" ref="A125:XFD133" action="insertRow">
    <undo index="0" exp="area" ref3D="1" dr="$A$255:$XFD$263" dn="Z_30E81E54_DD45_4653_9DCD_548F6723F554_.wvu.Rows" sId="1"/>
  </rrc>
  <rm rId="5867" sheetId="1" source="A108:XFD116" destination="A125:XFD133" sourceSheetId="1">
    <rfmt sheetId="1" xfDxf="1" sqref="A125:XFD125" start="0" length="0">
      <dxf>
        <font>
          <name val="Times New Roman"/>
          <scheme val="none"/>
        </font>
        <alignment vertical="center" readingOrder="0"/>
      </dxf>
    </rfmt>
    <rfmt sheetId="1" xfDxf="1" sqref="A126:XFD126" start="0" length="0">
      <dxf>
        <font>
          <name val="Times New Roman"/>
          <scheme val="none"/>
        </font>
        <alignment vertical="center" readingOrder="0"/>
      </dxf>
    </rfmt>
    <rfmt sheetId="1" xfDxf="1" sqref="A127:XFD127" start="0" length="0">
      <dxf>
        <font>
          <name val="Times New Roman"/>
          <scheme val="none"/>
        </font>
        <alignment vertical="center" readingOrder="0"/>
      </dxf>
    </rfmt>
    <rfmt sheetId="1" xfDxf="1" sqref="A128:XFD128" start="0" length="0">
      <dxf>
        <font>
          <name val="Times New Roman"/>
          <scheme val="none"/>
        </font>
        <alignment vertical="center" readingOrder="0"/>
      </dxf>
    </rfmt>
    <rfmt sheetId="1" xfDxf="1" sqref="A129:XFD129" start="0" length="0">
      <dxf>
        <font>
          <name val="Times New Roman"/>
          <scheme val="none"/>
        </font>
        <alignment vertical="center" readingOrder="0"/>
      </dxf>
    </rfmt>
    <rfmt sheetId="1" xfDxf="1" sqref="A130:XFD130" start="0" length="0">
      <dxf>
        <font>
          <name val="Times New Roman"/>
          <scheme val="none"/>
        </font>
        <alignment vertical="center" readingOrder="0"/>
      </dxf>
    </rfmt>
    <rfmt sheetId="1" xfDxf="1" sqref="A131:XFD131" start="0" length="0">
      <dxf>
        <font>
          <name val="Times New Roman"/>
          <scheme val="none"/>
        </font>
        <alignment vertical="center" readingOrder="0"/>
      </dxf>
    </rfmt>
    <rfmt sheetId="1" xfDxf="1" sqref="A132:XFD132" start="0" length="0">
      <dxf>
        <font>
          <name val="Times New Roman"/>
          <scheme val="none"/>
        </font>
        <alignment vertical="center" readingOrder="0"/>
      </dxf>
    </rfmt>
    <rfmt sheetId="1" xfDxf="1" sqref="A133:XFD133" start="0" length="0">
      <dxf>
        <font>
          <name val="Times New Roman"/>
          <scheme val="none"/>
        </font>
        <alignment vertical="center" readingOrder="0"/>
      </dxf>
    </rfmt>
    <rfmt sheetId="1" sqref="A125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125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5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5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5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ill>
          <patternFill patternType="solid">
            <bgColor theme="0"/>
          </patternFill>
        </fill>
      </dxf>
    </rfmt>
    <rfmt sheetId="1" sqref="H125" start="0" length="0">
      <dxf>
        <fill>
          <patternFill patternType="solid">
            <bgColor theme="0"/>
          </patternFill>
        </fill>
      </dxf>
    </rfmt>
    <rfmt sheetId="1" sqref="I125" start="0" length="0">
      <dxf>
        <fill>
          <patternFill patternType="solid">
            <bgColor theme="0"/>
          </patternFill>
        </fill>
      </dxf>
    </rfmt>
    <rfmt sheetId="1" sqref="J125" start="0" length="0">
      <dxf>
        <fill>
          <patternFill patternType="solid">
            <bgColor theme="0"/>
          </patternFill>
        </fill>
      </dxf>
    </rfmt>
    <rfmt sheetId="1" sqref="A126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126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6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6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6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6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6" start="0" length="0">
      <dxf>
        <fill>
          <patternFill patternType="solid">
            <bgColor theme="0"/>
          </patternFill>
        </fill>
      </dxf>
    </rfmt>
    <rfmt sheetId="1" sqref="H126" start="0" length="0">
      <dxf>
        <fill>
          <patternFill patternType="solid">
            <bgColor theme="0"/>
          </patternFill>
        </fill>
      </dxf>
    </rfmt>
    <rfmt sheetId="1" sqref="I126" start="0" length="0">
      <dxf>
        <fill>
          <patternFill patternType="solid">
            <bgColor theme="0"/>
          </patternFill>
        </fill>
      </dxf>
    </rfmt>
    <rfmt sheetId="1" sqref="J126" start="0" length="0">
      <dxf>
        <fill>
          <patternFill patternType="solid">
            <bgColor theme="0"/>
          </patternFill>
        </fill>
      </dxf>
    </rfmt>
    <rfmt sheetId="1" sqref="A127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127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7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7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7" start="0" length="0">
      <dxf>
        <fill>
          <patternFill patternType="solid">
            <bgColor theme="0"/>
          </patternFill>
        </fill>
      </dxf>
    </rfmt>
    <rfmt sheetId="1" sqref="H127" start="0" length="0">
      <dxf>
        <fill>
          <patternFill patternType="solid">
            <bgColor theme="0"/>
          </patternFill>
        </fill>
      </dxf>
    </rfmt>
    <rfmt sheetId="1" sqref="I127" start="0" length="0">
      <dxf>
        <fill>
          <patternFill patternType="solid">
            <bgColor theme="0"/>
          </patternFill>
        </fill>
      </dxf>
    </rfmt>
    <rfmt sheetId="1" sqref="J127" start="0" length="0">
      <dxf>
        <fill>
          <patternFill patternType="solid">
            <bgColor theme="0"/>
          </patternFill>
        </fill>
      </dxf>
    </rfmt>
    <rfmt sheetId="1" sqref="A128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128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8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8" start="0" length="0">
      <dxf>
        <fill>
          <patternFill patternType="solid">
            <bgColor theme="0"/>
          </patternFill>
        </fill>
      </dxf>
    </rfmt>
    <rfmt sheetId="1" sqref="H128" start="0" length="0">
      <dxf>
        <fill>
          <patternFill patternType="solid">
            <bgColor theme="0"/>
          </patternFill>
        </fill>
      </dxf>
    </rfmt>
    <rfmt sheetId="1" sqref="I128" start="0" length="0">
      <dxf>
        <fill>
          <patternFill patternType="solid">
            <bgColor theme="0"/>
          </patternFill>
        </fill>
      </dxf>
    </rfmt>
    <rfmt sheetId="1" sqref="J128" start="0" length="0">
      <dxf>
        <fill>
          <patternFill patternType="solid">
            <bgColor theme="0"/>
          </patternFill>
        </fill>
      </dxf>
    </rfmt>
    <rfmt sheetId="1" sqref="A129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129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29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29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9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ill>
          <patternFill patternType="solid">
            <bgColor theme="0"/>
          </patternFill>
        </fill>
      </dxf>
    </rfmt>
    <rfmt sheetId="1" sqref="H129" start="0" length="0">
      <dxf>
        <fill>
          <patternFill patternType="solid">
            <bgColor theme="0"/>
          </patternFill>
        </fill>
      </dxf>
    </rfmt>
    <rfmt sheetId="1" sqref="I129" start="0" length="0">
      <dxf>
        <fill>
          <patternFill patternType="solid">
            <bgColor theme="0"/>
          </patternFill>
        </fill>
      </dxf>
    </rfmt>
    <rfmt sheetId="1" sqref="J129" start="0" length="0">
      <dxf>
        <fill>
          <patternFill patternType="solid">
            <bgColor theme="0"/>
          </patternFill>
        </fill>
      </dxf>
    </rfmt>
    <rfmt sheetId="1" sqref="A130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130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0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30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30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30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0" start="0" length="0">
      <dxf>
        <fill>
          <patternFill patternType="solid">
            <bgColor theme="0"/>
          </patternFill>
        </fill>
      </dxf>
    </rfmt>
    <rfmt sheetId="1" sqref="H130" start="0" length="0">
      <dxf>
        <fill>
          <patternFill patternType="solid">
            <bgColor theme="0"/>
          </patternFill>
        </fill>
      </dxf>
    </rfmt>
    <rfmt sheetId="1" sqref="I130" start="0" length="0">
      <dxf>
        <fill>
          <patternFill patternType="solid">
            <bgColor theme="0"/>
          </patternFill>
        </fill>
      </dxf>
    </rfmt>
    <rfmt sheetId="1" sqref="J130" start="0" length="0">
      <dxf>
        <fill>
          <patternFill patternType="solid">
            <bgColor theme="0"/>
          </patternFill>
        </fill>
      </dxf>
    </rfmt>
    <rfmt sheetId="1" sqref="A131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131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1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3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3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3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1" start="0" length="0">
      <dxf>
        <fill>
          <patternFill patternType="solid">
            <bgColor theme="0"/>
          </patternFill>
        </fill>
      </dxf>
    </rfmt>
    <rfmt sheetId="1" sqref="H131" start="0" length="0">
      <dxf>
        <fill>
          <patternFill patternType="solid">
            <bgColor theme="0"/>
          </patternFill>
        </fill>
      </dxf>
    </rfmt>
    <rfmt sheetId="1" sqref="I131" start="0" length="0">
      <dxf>
        <fill>
          <patternFill patternType="solid">
            <bgColor theme="0"/>
          </patternFill>
        </fill>
      </dxf>
    </rfmt>
    <rfmt sheetId="1" sqref="J131" start="0" length="0">
      <dxf>
        <fill>
          <patternFill patternType="solid">
            <bgColor theme="0"/>
          </patternFill>
        </fill>
      </dxf>
    </rfmt>
    <rfmt sheetId="1" sqref="A132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132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2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3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3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3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2" start="0" length="0">
      <dxf>
        <fill>
          <patternFill patternType="solid">
            <bgColor theme="0"/>
          </patternFill>
        </fill>
      </dxf>
    </rfmt>
    <rfmt sheetId="1" sqref="H132" start="0" length="0">
      <dxf>
        <fill>
          <patternFill patternType="solid">
            <bgColor theme="0"/>
          </patternFill>
        </fill>
      </dxf>
    </rfmt>
    <rfmt sheetId="1" sqref="I132" start="0" length="0">
      <dxf>
        <fill>
          <patternFill patternType="solid">
            <bgColor theme="0"/>
          </patternFill>
        </fill>
      </dxf>
    </rfmt>
    <rfmt sheetId="1" sqref="J132" start="0" length="0">
      <dxf>
        <fill>
          <patternFill patternType="solid">
            <bgColor theme="0"/>
          </patternFill>
        </fill>
      </dxf>
    </rfmt>
    <rfmt sheetId="1" sqref="A133" start="0" length="0">
      <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133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3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3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3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33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3" start="0" length="0">
      <dxf>
        <fill>
          <patternFill patternType="solid">
            <bgColor theme="0"/>
          </patternFill>
        </fill>
      </dxf>
    </rfmt>
    <rfmt sheetId="1" sqref="H133" start="0" length="0">
      <dxf>
        <fill>
          <patternFill patternType="solid">
            <bgColor theme="0"/>
          </patternFill>
        </fill>
      </dxf>
    </rfmt>
    <rfmt sheetId="1" sqref="I133" start="0" length="0">
      <dxf>
        <fill>
          <patternFill patternType="solid">
            <bgColor theme="0"/>
          </patternFill>
        </fill>
      </dxf>
    </rfmt>
    <rfmt sheetId="1" sqref="J133" start="0" length="0">
      <dxf>
        <fill>
          <patternFill patternType="solid">
            <bgColor theme="0"/>
          </patternFill>
        </fill>
      </dxf>
    </rfmt>
  </rm>
  <rrc rId="5868" sId="1" ref="A108:XFD108" action="deleteRow">
    <undo index="0" exp="area" ref3D="1" dr="$A$264:$XFD$272" dn="Z_30E81E54_DD45_4653_9DCD_548F6723F554_.wvu.Rows" sId="1"/>
    <rfmt sheetId="1" xfDxf="1" sqref="A108:XFD108" start="0" length="0">
      <dxf>
        <font>
          <sz val="11"/>
          <name val="Times New Roman"/>
          <scheme val="none"/>
        </font>
        <alignment vertical="center" readingOrder="0"/>
      </dxf>
    </rfmt>
    <rfmt sheetId="1" sqref="A108" start="0" length="0">
      <dxf>
        <fill>
          <patternFill patternType="solid">
            <bgColor rgb="FFFFFF00"/>
          </patternFill>
        </fill>
      </dxf>
    </rfmt>
    <rfmt sheetId="1" sqref="B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08" start="0" length="0">
      <dxf>
        <fill>
          <patternFill patternType="solid">
            <bgColor theme="0"/>
          </patternFill>
        </fill>
      </dxf>
    </rfmt>
    <rfmt sheetId="1" sqref="H108" start="0" length="0">
      <dxf>
        <fill>
          <patternFill patternType="solid">
            <bgColor theme="0"/>
          </patternFill>
        </fill>
      </dxf>
    </rfmt>
    <rfmt sheetId="1" sqref="I108" start="0" length="0">
      <dxf>
        <fill>
          <patternFill patternType="solid">
            <bgColor theme="0"/>
          </patternFill>
        </fill>
      </dxf>
    </rfmt>
    <rfmt sheetId="1" sqref="J108" start="0" length="0">
      <dxf>
        <fill>
          <patternFill patternType="solid">
            <bgColor theme="0"/>
          </patternFill>
        </fill>
      </dxf>
    </rfmt>
  </rrc>
  <rrc rId="5869" sId="1" ref="A108:XFD108" action="deleteRow">
    <undo index="0" exp="area" ref3D="1" dr="$A$263:$XFD$271" dn="Z_30E81E54_DD45_4653_9DCD_548F6723F554_.wvu.Rows" sId="1"/>
    <rfmt sheetId="1" xfDxf="1" sqref="A108:XFD108" start="0" length="0">
      <dxf>
        <font>
          <sz val="11"/>
          <name val="Times New Roman"/>
          <scheme val="none"/>
        </font>
        <alignment vertical="center" readingOrder="0"/>
      </dxf>
    </rfmt>
    <rfmt sheetId="1" sqref="A108" start="0" length="0">
      <dxf>
        <fill>
          <patternFill patternType="solid">
            <bgColor rgb="FFFFFF00"/>
          </patternFill>
        </fill>
      </dxf>
    </rfmt>
    <rfmt sheetId="1" sqref="B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08" start="0" length="0">
      <dxf>
        <fill>
          <patternFill patternType="solid">
            <bgColor theme="0"/>
          </patternFill>
        </fill>
      </dxf>
    </rfmt>
    <rfmt sheetId="1" sqref="H108" start="0" length="0">
      <dxf>
        <fill>
          <patternFill patternType="solid">
            <bgColor theme="0"/>
          </patternFill>
        </fill>
      </dxf>
    </rfmt>
    <rfmt sheetId="1" sqref="I108" start="0" length="0">
      <dxf>
        <fill>
          <patternFill patternType="solid">
            <bgColor theme="0"/>
          </patternFill>
        </fill>
      </dxf>
    </rfmt>
    <rfmt sheetId="1" sqref="J108" start="0" length="0">
      <dxf>
        <fill>
          <patternFill patternType="solid">
            <bgColor theme="0"/>
          </patternFill>
        </fill>
      </dxf>
    </rfmt>
  </rrc>
  <rrc rId="5870" sId="1" ref="A108:XFD108" action="deleteRow">
    <undo index="0" exp="area" ref3D="1" dr="$A$262:$XFD$270" dn="Z_30E81E54_DD45_4653_9DCD_548F6723F554_.wvu.Rows" sId="1"/>
    <rfmt sheetId="1" xfDxf="1" sqref="A108:XFD108" start="0" length="0">
      <dxf>
        <font>
          <sz val="11"/>
          <name val="Times New Roman"/>
          <scheme val="none"/>
        </font>
        <alignment vertical="center" readingOrder="0"/>
      </dxf>
    </rfmt>
    <rfmt sheetId="1" sqref="A108" start="0" length="0">
      <dxf>
        <fill>
          <patternFill patternType="solid">
            <bgColor rgb="FFFFFF00"/>
          </patternFill>
        </fill>
      </dxf>
    </rfmt>
    <rfmt sheetId="1" sqref="B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08" start="0" length="0">
      <dxf>
        <fill>
          <patternFill patternType="solid">
            <bgColor theme="0"/>
          </patternFill>
        </fill>
      </dxf>
    </rfmt>
    <rfmt sheetId="1" sqref="H108" start="0" length="0">
      <dxf>
        <fill>
          <patternFill patternType="solid">
            <bgColor theme="0"/>
          </patternFill>
        </fill>
      </dxf>
    </rfmt>
    <rfmt sheetId="1" sqref="I108" start="0" length="0">
      <dxf>
        <fill>
          <patternFill patternType="solid">
            <bgColor theme="0"/>
          </patternFill>
        </fill>
      </dxf>
    </rfmt>
    <rfmt sheetId="1" sqref="J108" start="0" length="0">
      <dxf>
        <fill>
          <patternFill patternType="solid">
            <bgColor theme="0"/>
          </patternFill>
        </fill>
      </dxf>
    </rfmt>
  </rrc>
  <rrc rId="5871" sId="1" ref="A108:XFD108" action="deleteRow">
    <undo index="0" exp="area" ref3D="1" dr="$A$261:$XFD$269" dn="Z_30E81E54_DD45_4653_9DCD_548F6723F554_.wvu.Rows" sId="1"/>
    <rfmt sheetId="1" xfDxf="1" sqref="A108:XFD108" start="0" length="0">
      <dxf>
        <font>
          <sz val="11"/>
          <name val="Times New Roman"/>
          <scheme val="none"/>
        </font>
        <alignment vertical="center" readingOrder="0"/>
      </dxf>
    </rfmt>
    <rfmt sheetId="1" sqref="A108" start="0" length="0">
      <dxf>
        <fill>
          <patternFill patternType="solid">
            <bgColor rgb="FFFFFF00"/>
          </patternFill>
        </fill>
      </dxf>
    </rfmt>
    <rfmt sheetId="1" sqref="B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08" start="0" length="0">
      <dxf>
        <fill>
          <patternFill patternType="solid">
            <bgColor theme="0"/>
          </patternFill>
        </fill>
      </dxf>
    </rfmt>
    <rfmt sheetId="1" sqref="H108" start="0" length="0">
      <dxf>
        <fill>
          <patternFill patternType="solid">
            <bgColor theme="0"/>
          </patternFill>
        </fill>
      </dxf>
    </rfmt>
    <rfmt sheetId="1" sqref="I108" start="0" length="0">
      <dxf>
        <fill>
          <patternFill patternType="solid">
            <bgColor theme="0"/>
          </patternFill>
        </fill>
      </dxf>
    </rfmt>
    <rfmt sheetId="1" sqref="J108" start="0" length="0">
      <dxf>
        <fill>
          <patternFill patternType="solid">
            <bgColor theme="0"/>
          </patternFill>
        </fill>
      </dxf>
    </rfmt>
  </rrc>
  <rrc rId="5872" sId="1" ref="A108:XFD108" action="deleteRow">
    <undo index="0" exp="area" ref3D="1" dr="$A$260:$XFD$268" dn="Z_30E81E54_DD45_4653_9DCD_548F6723F554_.wvu.Rows" sId="1"/>
    <rfmt sheetId="1" xfDxf="1" sqref="A108:XFD108" start="0" length="0">
      <dxf>
        <font>
          <sz val="11"/>
          <name val="Times New Roman"/>
          <scheme val="none"/>
        </font>
        <alignment vertical="center" readingOrder="0"/>
      </dxf>
    </rfmt>
    <rfmt sheetId="1" sqref="A108" start="0" length="0">
      <dxf>
        <fill>
          <patternFill patternType="solid">
            <bgColor rgb="FFFFFF00"/>
          </patternFill>
        </fill>
      </dxf>
    </rfmt>
    <rfmt sheetId="1" sqref="B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08" start="0" length="0">
      <dxf>
        <fill>
          <patternFill patternType="solid">
            <bgColor theme="0"/>
          </patternFill>
        </fill>
      </dxf>
    </rfmt>
    <rfmt sheetId="1" sqref="H108" start="0" length="0">
      <dxf>
        <fill>
          <patternFill patternType="solid">
            <bgColor theme="0"/>
          </patternFill>
        </fill>
      </dxf>
    </rfmt>
    <rfmt sheetId="1" sqref="I108" start="0" length="0">
      <dxf>
        <fill>
          <patternFill patternType="solid">
            <bgColor theme="0"/>
          </patternFill>
        </fill>
      </dxf>
    </rfmt>
    <rfmt sheetId="1" sqref="J108" start="0" length="0">
      <dxf>
        <fill>
          <patternFill patternType="solid">
            <bgColor theme="0"/>
          </patternFill>
        </fill>
      </dxf>
    </rfmt>
  </rrc>
  <rrc rId="5873" sId="1" ref="A108:XFD108" action="deleteRow">
    <undo index="0" exp="area" ref3D="1" dr="$A$259:$XFD$267" dn="Z_30E81E54_DD45_4653_9DCD_548F6723F554_.wvu.Rows" sId="1"/>
    <rfmt sheetId="1" xfDxf="1" sqref="A108:XFD108" start="0" length="0">
      <dxf>
        <font>
          <sz val="11"/>
          <name val="Times New Roman"/>
          <scheme val="none"/>
        </font>
        <alignment vertical="center" readingOrder="0"/>
      </dxf>
    </rfmt>
    <rfmt sheetId="1" sqref="A108" start="0" length="0">
      <dxf>
        <fill>
          <patternFill patternType="solid">
            <bgColor rgb="FFFFFF00"/>
          </patternFill>
        </fill>
      </dxf>
    </rfmt>
    <rfmt sheetId="1" sqref="B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08" start="0" length="0">
      <dxf>
        <fill>
          <patternFill patternType="solid">
            <bgColor theme="0"/>
          </patternFill>
        </fill>
      </dxf>
    </rfmt>
    <rfmt sheetId="1" sqref="H108" start="0" length="0">
      <dxf>
        <fill>
          <patternFill patternType="solid">
            <bgColor theme="0"/>
          </patternFill>
        </fill>
      </dxf>
    </rfmt>
    <rfmt sheetId="1" sqref="I108" start="0" length="0">
      <dxf>
        <fill>
          <patternFill patternType="solid">
            <bgColor theme="0"/>
          </patternFill>
        </fill>
      </dxf>
    </rfmt>
    <rfmt sheetId="1" sqref="J108" start="0" length="0">
      <dxf>
        <fill>
          <patternFill patternType="solid">
            <bgColor theme="0"/>
          </patternFill>
        </fill>
      </dxf>
    </rfmt>
  </rrc>
  <rrc rId="5874" sId="1" ref="A108:XFD108" action="deleteRow">
    <undo index="0" exp="area" ref3D="1" dr="$A$258:$XFD$266" dn="Z_30E81E54_DD45_4653_9DCD_548F6723F554_.wvu.Rows" sId="1"/>
    <rfmt sheetId="1" xfDxf="1" sqref="A108:XFD108" start="0" length="0">
      <dxf>
        <font>
          <sz val="11"/>
          <name val="Times New Roman"/>
          <scheme val="none"/>
        </font>
        <alignment vertical="center" readingOrder="0"/>
      </dxf>
    </rfmt>
    <rfmt sheetId="1" sqref="A108" start="0" length="0">
      <dxf>
        <fill>
          <patternFill patternType="solid">
            <bgColor rgb="FFFFFF00"/>
          </patternFill>
        </fill>
      </dxf>
    </rfmt>
    <rfmt sheetId="1" sqref="B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08" start="0" length="0">
      <dxf>
        <fill>
          <patternFill patternType="solid">
            <bgColor theme="0"/>
          </patternFill>
        </fill>
      </dxf>
    </rfmt>
    <rfmt sheetId="1" sqref="H108" start="0" length="0">
      <dxf>
        <fill>
          <patternFill patternType="solid">
            <bgColor theme="0"/>
          </patternFill>
        </fill>
      </dxf>
    </rfmt>
    <rfmt sheetId="1" sqref="I108" start="0" length="0">
      <dxf>
        <fill>
          <patternFill patternType="solid">
            <bgColor theme="0"/>
          </patternFill>
        </fill>
      </dxf>
    </rfmt>
    <rfmt sheetId="1" sqref="J108" start="0" length="0">
      <dxf>
        <fill>
          <patternFill patternType="solid">
            <bgColor theme="0"/>
          </patternFill>
        </fill>
      </dxf>
    </rfmt>
  </rrc>
  <rrc rId="5875" sId="1" ref="A108:XFD108" action="deleteRow">
    <undo index="0" exp="area" ref3D="1" dr="$A$257:$XFD$265" dn="Z_30E81E54_DD45_4653_9DCD_548F6723F554_.wvu.Rows" sId="1"/>
    <rfmt sheetId="1" xfDxf="1" sqref="A108:XFD108" start="0" length="0">
      <dxf>
        <font>
          <sz val="11"/>
          <name val="Times New Roman"/>
          <scheme val="none"/>
        </font>
        <alignment vertical="center" readingOrder="0"/>
      </dxf>
    </rfmt>
    <rfmt sheetId="1" sqref="A108" start="0" length="0">
      <dxf>
        <fill>
          <patternFill patternType="solid">
            <bgColor rgb="FFFFFF00"/>
          </patternFill>
        </fill>
      </dxf>
    </rfmt>
    <rfmt sheetId="1" sqref="B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08" start="0" length="0">
      <dxf>
        <fill>
          <patternFill patternType="solid">
            <bgColor theme="0"/>
          </patternFill>
        </fill>
      </dxf>
    </rfmt>
    <rfmt sheetId="1" sqref="H108" start="0" length="0">
      <dxf>
        <fill>
          <patternFill patternType="solid">
            <bgColor theme="0"/>
          </patternFill>
        </fill>
      </dxf>
    </rfmt>
    <rfmt sheetId="1" sqref="I108" start="0" length="0">
      <dxf>
        <fill>
          <patternFill patternType="solid">
            <bgColor theme="0"/>
          </patternFill>
        </fill>
      </dxf>
    </rfmt>
    <rfmt sheetId="1" sqref="J108" start="0" length="0">
      <dxf>
        <fill>
          <patternFill patternType="solid">
            <bgColor theme="0"/>
          </patternFill>
        </fill>
      </dxf>
    </rfmt>
  </rrc>
  <rrc rId="5876" sId="1" ref="A108:XFD108" action="deleteRow">
    <undo index="0" exp="area" ref3D="1" dr="$A$256:$XFD$264" dn="Z_30E81E54_DD45_4653_9DCD_548F6723F554_.wvu.Rows" sId="1"/>
    <rfmt sheetId="1" xfDxf="1" sqref="A108:XFD108" start="0" length="0">
      <dxf>
        <font>
          <sz val="11"/>
          <name val="Times New Roman"/>
          <scheme val="none"/>
        </font>
        <alignment vertical="center" readingOrder="0"/>
      </dxf>
    </rfmt>
    <rfmt sheetId="1" sqref="A108" start="0" length="0">
      <dxf>
        <fill>
          <patternFill patternType="solid">
            <bgColor rgb="FFFFFF00"/>
          </patternFill>
        </fill>
      </dxf>
    </rfmt>
    <rfmt sheetId="1" sqref="B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C108" start="0" length="0">
      <dxf>
        <fill>
          <patternFill patternType="solid">
            <bgColor rgb="FFFFFF00"/>
          </patternFill>
        </fill>
        <alignment horizontal="center" readingOrder="0"/>
      </dxf>
    </rfmt>
    <rfmt sheetId="1" sqref="D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E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F108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</dxf>
    </rfmt>
    <rfmt sheetId="1" sqref="G108" start="0" length="0">
      <dxf>
        <fill>
          <patternFill patternType="solid">
            <bgColor theme="0"/>
          </patternFill>
        </fill>
      </dxf>
    </rfmt>
    <rfmt sheetId="1" sqref="H108" start="0" length="0">
      <dxf>
        <fill>
          <patternFill patternType="solid">
            <bgColor theme="0"/>
          </patternFill>
        </fill>
      </dxf>
    </rfmt>
    <rfmt sheetId="1" sqref="I108" start="0" length="0">
      <dxf>
        <fill>
          <patternFill patternType="solid">
            <bgColor theme="0"/>
          </patternFill>
        </fill>
      </dxf>
    </rfmt>
    <rfmt sheetId="1" sqref="J108" start="0" length="0">
      <dxf>
        <fill>
          <patternFill patternType="solid">
            <bgColor theme="0"/>
          </patternFill>
        </fill>
      </dxf>
    </rfmt>
  </rrc>
  <rcc rId="5877" sId="1">
    <oc r="D95">
      <v>14141540</v>
    </oc>
    <nc r="D95">
      <f>14141540</f>
    </nc>
  </rcc>
  <rfmt sheetId="1" sqref="A58:F124">
    <dxf>
      <fill>
        <patternFill patternType="none">
          <bgColor auto="1"/>
        </patternFill>
      </fill>
    </dxf>
  </rfmt>
  <rcc rId="5878" sId="1" numFmtId="34">
    <oc r="D163">
      <v>10668149.41</v>
    </oc>
    <nc r="D163">
      <v>10581357.789999999</v>
    </nc>
  </rcc>
  <rcc rId="5879" sId="1" numFmtId="34">
    <oc r="E163">
      <v>11293823.52</v>
    </oc>
    <nc r="E163">
      <v>10581357.789999999</v>
    </nc>
  </rcc>
  <rcc rId="5880" sId="1" numFmtId="34">
    <oc r="F163">
      <v>11293823.52</v>
    </oc>
    <nc r="F163">
      <v>10687171.369999999</v>
    </nc>
  </rcc>
  <rcc rId="5881" sId="1" numFmtId="34">
    <oc r="D164">
      <v>290900</v>
    </oc>
    <nc r="D164">
      <v>291000</v>
    </nc>
  </rcc>
  <rcc rId="5882" sId="1" numFmtId="34">
    <oc r="D165">
      <v>3221781.1100000003</v>
    </oc>
    <nc r="D165">
      <v>3195570.05</v>
    </nc>
  </rcc>
  <rcc rId="5883" sId="1" numFmtId="34">
    <oc r="E165">
      <v>3410734.7</v>
    </oc>
    <nc r="E165">
      <v>3195570.05</v>
    </nc>
  </rcc>
  <rcc rId="5884" sId="1" numFmtId="34">
    <oc r="F165">
      <v>3410734.7</v>
    </oc>
    <nc r="F165">
      <v>3227525.75</v>
    </nc>
  </rcc>
  <rcc rId="5885" sId="1" numFmtId="34">
    <oc r="D168">
      <f>850000-152500</f>
    </oc>
    <nc r="D168">
      <v>700000</v>
    </nc>
  </rcc>
  <rcc rId="5886" sId="1" numFmtId="34">
    <oc r="D174">
      <f>112200-20117.3</f>
    </oc>
    <nc r="D174">
      <v>112200</v>
    </nc>
  </rcc>
  <rcc rId="5887" sId="1" numFmtId="34">
    <oc r="E174">
      <v>112200</v>
    </oc>
    <nc r="E174">
      <v>116688</v>
    </nc>
  </rcc>
  <rcc rId="5888" sId="1" numFmtId="34">
    <oc r="F174">
      <v>112200</v>
    </oc>
    <nc r="F174">
      <v>116688</v>
    </nc>
  </rcc>
  <rcc rId="5889" sId="1" numFmtId="34">
    <oc r="D177">
      <f>173500+20117.3</f>
    </oc>
    <nc r="D177">
      <v>173500</v>
    </nc>
  </rcc>
  <rcc rId="5890" sId="1" numFmtId="34">
    <oc r="E177">
      <v>173500</v>
    </oc>
    <nc r="E177">
      <v>180440</v>
    </nc>
  </rcc>
  <rcc rId="5891" sId="1" numFmtId="34">
    <oc r="F177">
      <v>173500</v>
    </oc>
    <nc r="F177">
      <v>180440</v>
    </nc>
  </rcc>
  <rfmt sheetId="1" sqref="A159:F177">
    <dxf>
      <fill>
        <patternFill patternType="none">
          <bgColor auto="1"/>
        </patternFill>
      </fill>
    </dxf>
  </rfmt>
  <rcc rId="5892" sId="1" numFmtId="34">
    <nc r="D182">
      <v>12560227.27</v>
    </nc>
  </rcc>
  <rcc rId="5893" sId="1" numFmtId="34">
    <oc r="E182">
      <v>12419102.119999999</v>
    </oc>
    <nc r="E182">
      <v>0</v>
    </nc>
  </rcc>
  <rcc rId="5894" sId="1" numFmtId="34">
    <nc r="F182">
      <v>0</v>
    </nc>
  </rcc>
  <rcc rId="5895" sId="1" numFmtId="34">
    <oc r="D186">
      <v>3624076.3</v>
    </oc>
    <nc r="D186">
      <v>3165267.81</v>
    </nc>
  </rcc>
  <rcc rId="5896" sId="1" numFmtId="34">
    <oc r="E186">
      <v>3766729.48</v>
    </oc>
    <nc r="E186">
      <v>3269764.18</v>
    </nc>
  </rcc>
  <rcc rId="5897" sId="1" numFmtId="34">
    <oc r="F186">
      <v>3838366.96</v>
    </oc>
    <nc r="F186">
      <v>3367679.16</v>
    </nc>
  </rcc>
  <rrc rId="5898" sId="1" ref="A190:XFD190" action="deleteRow">
    <undo index="0" exp="ref" v="1" dr="F190" r="F189" sId="1"/>
    <undo index="0" exp="ref" v="1" dr="E190" r="E189" sId="1"/>
    <undo index="0" exp="ref" v="1" dr="D190" r="D189" sId="1"/>
    <undo index="0" exp="area" ref3D="1" dr="$A$255:$XFD$263" dn="Z_30E81E54_DD45_4653_9DCD_548F6723F554_.wvu.Rows" sId="1"/>
    <rfmt sheetId="1" xfDxf="1" sqref="A190:XFD190" start="0" length="0">
      <dxf>
        <font>
          <name val="Times New Roman"/>
          <scheme val="none"/>
        </font>
        <alignment vertical="center" readingOrder="0"/>
      </dxf>
    </rfmt>
    <rcc rId="0" sId="1" dxf="1">
      <nc r="A19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numFmt numFmtId="30" formatCode="@"/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190" t="inlineStr">
        <is>
          <t>03 5 00 80100</t>
        </is>
      </nc>
      <ndxf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quotePrefix="1">
      <nc r="C190" t="inlineStr">
        <is>
          <t>611</t>
        </is>
      </nc>
      <ndxf>
        <numFmt numFmtId="166" formatCode="_(* #,##0_);_(* \(#,##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90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90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90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0" start="0" length="0">
      <dxf>
        <fill>
          <patternFill patternType="solid">
            <bgColor theme="0"/>
          </patternFill>
        </fill>
      </dxf>
    </rfmt>
    <rfmt sheetId="1" sqref="H190" start="0" length="0">
      <dxf>
        <fill>
          <patternFill patternType="solid">
            <bgColor theme="0"/>
          </patternFill>
        </fill>
      </dxf>
    </rfmt>
    <rfmt sheetId="1" sqref="I190" start="0" length="0">
      <dxf>
        <fill>
          <patternFill patternType="solid">
            <bgColor theme="0"/>
          </patternFill>
        </fill>
      </dxf>
    </rfmt>
    <rfmt sheetId="1" sqref="J190" start="0" length="0">
      <dxf>
        <fill>
          <patternFill patternType="solid">
            <bgColor theme="0"/>
          </patternFill>
        </fill>
      </dxf>
    </rfmt>
  </rrc>
  <rcc rId="5899" sId="1">
    <oc r="D189">
      <f>#REF!+D190</f>
    </oc>
    <nc r="D189">
      <f>D190</f>
    </nc>
  </rcc>
  <rcc rId="5900" sId="1">
    <oc r="E189">
      <f>#REF!+E190</f>
    </oc>
    <nc r="E189">
      <f>E190</f>
    </nc>
  </rcc>
  <rcc rId="5901" sId="1">
    <oc r="F189">
      <f>#REF!+F190</f>
    </oc>
    <nc r="F189">
      <f>F190</f>
    </nc>
  </rcc>
  <rfmt sheetId="1" sqref="D190" start="0" length="0">
    <dxf>
      <numFmt numFmtId="164" formatCode="_-* #,##0.00_р_._-;\-* #,##0.00_р_._-;_-* &quot;-&quot;??_р_._-;_-@_-"/>
      <alignment horizontal="general" readingOrder="0"/>
      <border outline="0">
        <left/>
      </border>
    </dxf>
  </rfmt>
  <rfmt sheetId="1" sqref="E190" start="0" length="0">
    <dxf>
      <numFmt numFmtId="164" formatCode="_-* #,##0.00_р_._-;\-* #,##0.00_р_._-;_-* &quot;-&quot;??_р_._-;_-@_-"/>
      <alignment horizontal="general" readingOrder="0"/>
      <border outline="0">
        <left/>
      </border>
    </dxf>
  </rfmt>
  <rfmt sheetId="1" sqref="F190" start="0" length="0">
    <dxf>
      <numFmt numFmtId="164" formatCode="_-* #,##0.00_р_._-;\-* #,##0.00_р_._-;_-* &quot;-&quot;??_р_._-;_-@_-"/>
      <alignment horizontal="general" readingOrder="0"/>
      <border outline="0">
        <left/>
      </border>
    </dxf>
  </rfmt>
  <rcc rId="5902" sId="1" numFmtId="34">
    <oc r="D190">
      <v>1593100</v>
    </oc>
    <nc r="D190">
      <v>1563712</v>
    </nc>
  </rcc>
  <rcc rId="5903" sId="1" numFmtId="34">
    <oc r="E190">
      <v>1593100</v>
    </oc>
    <nc r="E190">
      <v>1563712</v>
    </nc>
  </rcc>
  <rcc rId="5904" sId="1" numFmtId="34">
    <oc r="F190">
      <v>1593100</v>
    </oc>
    <nc r="F190">
      <v>1563712</v>
    </nc>
  </rcc>
  <rfmt sheetId="1" sqref="A178:F190">
    <dxf>
      <fill>
        <patternFill patternType="none">
          <bgColor auto="1"/>
        </patternFill>
      </fill>
    </dxf>
  </rfmt>
  <rcc rId="5905" sId="1" numFmtId="34">
    <oc r="E129">
      <v>800000</v>
    </oc>
    <nc r="E129">
      <v>0</v>
    </nc>
  </rcc>
  <rfmt sheetId="1" sqref="A1:F31">
    <dxf>
      <fill>
        <patternFill patternType="none">
          <bgColor auto="1"/>
        </patternFill>
      </fill>
    </dxf>
  </rfmt>
  <rrc rId="5906" sId="1" ref="A192:XFD192" action="deleteRow">
    <undo index="0" exp="ref" v="1" dr="F192" r="F191" sId="1"/>
    <undo index="0" exp="ref" v="1" dr="E192" r="E191" sId="1"/>
    <undo index="0" exp="ref" v="1" dr="D192" r="D191" sId="1"/>
    <undo index="0" exp="area" ref3D="1" dr="$A$254:$XFD$262" dn="Z_30E81E54_DD45_4653_9DCD_548F6723F554_.wvu.Rows" sId="1"/>
    <rfmt sheetId="1" xfDxf="1" sqref="A192:XFD192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192" t="inlineStr">
        <is>
          <t>Реализация мероприятий по социально-экономическому развитию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2" start="0" length="0">
      <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s="1" dxf="1">
      <nc r="D192">
        <f>D193+D197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2">
        <f>E193+E197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2">
        <f>F193+F197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ill>
          <patternFill patternType="solid">
            <bgColor theme="0"/>
          </patternFill>
        </fill>
      </dxf>
    </rfmt>
    <rfmt sheetId="1" sqref="H192" start="0" length="0">
      <dxf>
        <fill>
          <patternFill patternType="solid">
            <bgColor theme="0"/>
          </patternFill>
        </fill>
      </dxf>
    </rfmt>
    <rfmt sheetId="1" sqref="I192" start="0" length="0">
      <dxf>
        <fill>
          <patternFill patternType="solid">
            <bgColor theme="0"/>
          </patternFill>
        </fill>
      </dxf>
    </rfmt>
    <rfmt sheetId="1" sqref="J192" start="0" length="0">
      <dxf>
        <fill>
          <patternFill patternType="solid">
            <bgColor theme="0"/>
          </patternFill>
        </fill>
      </dxf>
    </rfmt>
  </rrc>
  <rrc rId="5907" sId="1" ref="A192:XFD192" action="deleteRow">
    <undo index="0" exp="area" ref3D="1" dr="$A$253:$XFD$261" dn="Z_30E81E54_DD45_4653_9DCD_548F6723F554_.wvu.Rows" sId="1"/>
    <rfmt sheetId="1" xfDxf="1" sqref="A192:XFD192" start="0" length="0">
      <dxf>
        <font>
          <name val="Times New Roman"/>
          <scheme val="none"/>
        </font>
        <alignment vertical="center" readingOrder="0"/>
      </dxf>
    </rfmt>
    <rcc rId="0" sId="1" dxf="1">
      <nc r="A192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2" t="inlineStr">
        <is>
          <t>04 0 00 Э8160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C192">
        <v>200</v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92">
        <f>D193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2">
        <f>E193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2">
        <f>F193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ill>
          <patternFill patternType="solid">
            <bgColor theme="0"/>
          </patternFill>
        </fill>
      </dxf>
    </rfmt>
    <rfmt sheetId="1" sqref="H192" start="0" length="0">
      <dxf>
        <fill>
          <patternFill patternType="solid">
            <bgColor theme="0"/>
          </patternFill>
        </fill>
      </dxf>
    </rfmt>
    <rfmt sheetId="1" sqref="I192" start="0" length="0">
      <dxf>
        <fill>
          <patternFill patternType="solid">
            <bgColor theme="0"/>
          </patternFill>
        </fill>
      </dxf>
    </rfmt>
    <rfmt sheetId="1" sqref="J192" start="0" length="0">
      <dxf>
        <fill>
          <patternFill patternType="solid">
            <bgColor theme="0"/>
          </patternFill>
        </fill>
      </dxf>
    </rfmt>
  </rrc>
  <rrc rId="5908" sId="1" ref="A192:XFD192" action="deleteRow">
    <undo index="0" exp="area" ref3D="1" dr="$A$252:$XFD$260" dn="Z_30E81E54_DD45_4653_9DCD_548F6723F554_.wvu.Rows" sId="1"/>
    <rfmt sheetId="1" xfDxf="1" sqref="A192:XFD192" start="0" length="0">
      <dxf>
        <font>
          <name val="Times New Roman"/>
          <scheme val="none"/>
        </font>
        <alignment vertical="center" readingOrder="0"/>
      </dxf>
    </rfmt>
    <rcc rId="0" sId="1" dxf="1">
      <nc r="A192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2" t="inlineStr">
        <is>
          <t>04 0 00 Э8160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C192">
        <v>240</v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92">
        <f>D194+D193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2">
        <f>E194+E193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2">
        <f>F194+F193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ill>
          <patternFill patternType="solid">
            <bgColor theme="0"/>
          </patternFill>
        </fill>
      </dxf>
    </rfmt>
    <rfmt sheetId="1" sqref="H192" start="0" length="0">
      <dxf>
        <fill>
          <patternFill patternType="solid">
            <bgColor theme="0"/>
          </patternFill>
        </fill>
      </dxf>
    </rfmt>
    <rfmt sheetId="1" sqref="I192" start="0" length="0">
      <dxf>
        <fill>
          <patternFill patternType="solid">
            <bgColor theme="0"/>
          </patternFill>
        </fill>
      </dxf>
    </rfmt>
    <rfmt sheetId="1" sqref="J192" start="0" length="0">
      <dxf>
        <fill>
          <patternFill patternType="solid">
            <bgColor theme="0"/>
          </patternFill>
        </fill>
      </dxf>
    </rfmt>
  </rrc>
  <rrc rId="5909" sId="1" ref="A192:XFD192" action="deleteRow">
    <undo index="0" exp="area" ref3D="1" dr="$A$251:$XFD$259" dn="Z_30E81E54_DD45_4653_9DCD_548F6723F554_.wvu.Rows" sId="1"/>
    <rfmt sheetId="1" xfDxf="1" sqref="A192:XFD192" start="0" length="0">
      <dxf>
        <font>
          <name val="Times New Roman"/>
          <scheme val="none"/>
        </font>
        <alignment vertical="center" readingOrder="0"/>
      </dxf>
    </rfmt>
    <rcc rId="0" sId="1" dxf="1">
      <nc r="A192" t="inlineStr">
        <is>
          <t>Закупка товаров, работ, услуг в целях капитального
ремонта государственного (муниципального) имущества</t>
        </is>
      </nc>
      <ndxf>
        <fill>
          <patternFill patternType="solid">
            <bgColor rgb="FFFFFF0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2" t="inlineStr">
        <is>
          <t>04 0 00 Э8160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243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92">
        <v>11100191.949999999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19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9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ill>
          <patternFill patternType="solid">
            <bgColor theme="0"/>
          </patternFill>
        </fill>
      </dxf>
    </rfmt>
    <rfmt sheetId="1" sqref="H192" start="0" length="0">
      <dxf>
        <fill>
          <patternFill patternType="solid">
            <bgColor theme="0"/>
          </patternFill>
        </fill>
      </dxf>
    </rfmt>
    <rfmt sheetId="1" sqref="I192" start="0" length="0">
      <dxf>
        <fill>
          <patternFill patternType="solid">
            <bgColor theme="0"/>
          </patternFill>
        </fill>
      </dxf>
    </rfmt>
    <rfmt sheetId="1" sqref="J192" start="0" length="0">
      <dxf>
        <fill>
          <patternFill patternType="solid">
            <bgColor theme="0"/>
          </patternFill>
        </fill>
      </dxf>
    </rfmt>
  </rrc>
  <rrc rId="5910" sId="1" ref="A192:XFD192" action="deleteRow">
    <undo index="0" exp="area" ref3D="1" dr="$A$250:$XFD$258" dn="Z_30E81E54_DD45_4653_9DCD_548F6723F554_.wvu.Rows" sId="1"/>
    <rfmt sheetId="1" xfDxf="1" sqref="A192:XFD192" start="0" length="0">
      <dxf>
        <font>
          <name val="Times New Roman"/>
          <scheme val="none"/>
        </font>
        <alignment vertical="center" readingOrder="0"/>
      </dxf>
    </rfmt>
    <rcc rId="0" sId="1" dxf="1">
      <nc r="A192" t="inlineStr">
        <is>
          <t xml:space="preserve">Прочая закупка товаров, работ и услуг 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2" t="inlineStr">
        <is>
          <t>04 0 00 Э8160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C192">
        <v>244</v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92">
        <f>10710000+2000000-2191899.42+2600000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92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92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ill>
          <patternFill patternType="solid">
            <bgColor theme="0"/>
          </patternFill>
        </fill>
      </dxf>
    </rfmt>
    <rfmt sheetId="1" sqref="H192" start="0" length="0">
      <dxf>
        <fill>
          <patternFill patternType="solid">
            <bgColor theme="0"/>
          </patternFill>
        </fill>
      </dxf>
    </rfmt>
    <rfmt sheetId="1" sqref="I192" start="0" length="0">
      <dxf>
        <fill>
          <patternFill patternType="solid">
            <bgColor theme="0"/>
          </patternFill>
        </fill>
      </dxf>
    </rfmt>
    <rfmt sheetId="1" sqref="J192" start="0" length="0">
      <dxf>
        <fill>
          <patternFill patternType="solid">
            <bgColor theme="0"/>
          </patternFill>
        </fill>
      </dxf>
    </rfmt>
  </rrc>
  <rrc rId="5911" sId="1" ref="A192:XFD192" action="deleteRow">
    <undo index="0" exp="area" ref3D="1" dr="$A$249:$XFD$257" dn="Z_30E81E54_DD45_4653_9DCD_548F6723F554_.wvu.Rows" sId="1"/>
    <rfmt sheetId="1" xfDxf="1" sqref="A192:XFD192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192" t="inlineStr">
        <is>
          <t>Капитальные вложения в объекты государственной (муниципальной) собственности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2" t="inlineStr">
        <is>
          <t>04 0 00 Э8160</t>
        </is>
      </nc>
      <ndxf>
        <numFmt numFmtId="30" formatCode="@"/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400</t>
        </is>
      </nc>
      <ndxf>
        <numFmt numFmtId="30" formatCode="@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D192">
        <f>D193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2">
        <f>E193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2">
        <f>F193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ill>
          <patternFill>
            <bgColor theme="0"/>
          </patternFill>
        </fill>
      </dxf>
    </rfmt>
    <rfmt sheetId="1" sqref="H192" start="0" length="0">
      <dxf>
        <fill>
          <patternFill>
            <bgColor theme="0"/>
          </patternFill>
        </fill>
      </dxf>
    </rfmt>
    <rfmt sheetId="1" sqref="I192" start="0" length="0">
      <dxf>
        <fill>
          <patternFill>
            <bgColor theme="0"/>
          </patternFill>
        </fill>
      </dxf>
    </rfmt>
    <rfmt sheetId="1" sqref="J192" start="0" length="0">
      <dxf>
        <fill>
          <patternFill>
            <bgColor theme="0"/>
          </patternFill>
        </fill>
      </dxf>
    </rfmt>
  </rrc>
  <rrc rId="5912" sId="1" ref="A192:XFD192" action="deleteRow">
    <undo index="0" exp="area" ref3D="1" dr="$A$248:$XFD$256" dn="Z_30E81E54_DD45_4653_9DCD_548F6723F554_.wvu.Rows" sId="1"/>
    <rfmt sheetId="1" xfDxf="1" sqref="A192:XFD192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192" t="inlineStr">
        <is>
          <t>Бюджетные инвестиции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2" t="inlineStr">
        <is>
          <t>04 0 00 Э8160</t>
        </is>
      </nc>
      <ndxf>
        <numFmt numFmtId="30" formatCode="@"/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410</t>
        </is>
      </nc>
      <ndxf>
        <numFmt numFmtId="30" formatCode="@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D192">
        <f>D193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92">
        <f>E193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92">
        <f>F193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ill>
          <patternFill>
            <bgColor theme="0"/>
          </patternFill>
        </fill>
      </dxf>
    </rfmt>
    <rfmt sheetId="1" sqref="H192" start="0" length="0">
      <dxf>
        <fill>
          <patternFill>
            <bgColor theme="0"/>
          </patternFill>
        </fill>
      </dxf>
    </rfmt>
    <rfmt sheetId="1" sqref="I192" start="0" length="0">
      <dxf>
        <fill>
          <patternFill>
            <bgColor theme="0"/>
          </patternFill>
        </fill>
      </dxf>
    </rfmt>
    <rfmt sheetId="1" sqref="J192" start="0" length="0">
      <dxf>
        <fill>
          <patternFill>
            <bgColor theme="0"/>
          </patternFill>
        </fill>
      </dxf>
    </rfmt>
  </rrc>
  <rrc rId="5913" sId="1" ref="A192:XFD192" action="deleteRow">
    <undo index="0" exp="area" ref3D="1" dr="$A$247:$XFD$255" dn="Z_30E81E54_DD45_4653_9DCD_548F6723F554_.wvu.Rows" sId="1"/>
    <rfmt sheetId="1" xfDxf="1" sqref="A192:XFD192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192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92" t="inlineStr">
        <is>
          <t>04 0 00 Э8160</t>
        </is>
      </nc>
      <ndxf>
        <numFmt numFmtId="30" formatCode="@"/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414</t>
        </is>
      </nc>
      <ndxf>
        <numFmt numFmtId="30" formatCode="@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D192">
        <f>10000000-10000000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192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92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ill>
          <patternFill>
            <bgColor theme="0"/>
          </patternFill>
        </fill>
      </dxf>
    </rfmt>
    <rfmt sheetId="1" sqref="H192" start="0" length="0">
      <dxf>
        <fill>
          <patternFill>
            <bgColor theme="0"/>
          </patternFill>
        </fill>
      </dxf>
    </rfmt>
    <rfmt sheetId="1" sqref="I192" start="0" length="0">
      <dxf>
        <fill>
          <patternFill>
            <bgColor theme="0"/>
          </patternFill>
        </fill>
      </dxf>
    </rfmt>
    <rfmt sheetId="1" sqref="J192" start="0" length="0">
      <dxf>
        <fill>
          <patternFill>
            <bgColor theme="0"/>
          </patternFill>
        </fill>
      </dxf>
    </rfmt>
  </rrc>
  <rcc rId="5914" sId="1" numFmtId="34">
    <oc r="D195">
      <v>1751800</v>
    </oc>
    <nc r="D195">
      <v>0</v>
    </nc>
  </rcc>
  <rcc rId="5915" sId="1" numFmtId="34">
    <oc r="E195">
      <v>1751800</v>
    </oc>
    <nc r="E195">
      <v>0</v>
    </nc>
  </rcc>
  <rcc rId="5916" sId="1">
    <oc r="F196">
      <f>F197</f>
    </oc>
    <nc r="F196">
      <f>F197</f>
    </nc>
  </rcc>
  <rcc rId="5917" sId="1" numFmtId="34">
    <oc r="F195">
      <v>1751800</v>
    </oc>
    <nc r="F195">
      <v>0</v>
    </nc>
  </rcc>
  <rcc rId="5918" sId="1" numFmtId="34">
    <oc r="D199">
      <f>6128158.25-40062-2067.32-500000</f>
    </oc>
    <nc r="D199">
      <v>5132800</v>
    </nc>
  </rcc>
  <rcc rId="5919" sId="1" numFmtId="34">
    <oc r="E199">
      <v>6250000</v>
    </oc>
    <nc r="E199">
      <v>5132800</v>
    </nc>
  </rcc>
  <rcc rId="5920" sId="1" numFmtId="34">
    <oc r="F199">
      <v>2700000</v>
    </oc>
    <nc r="F199">
      <v>5132800</v>
    </nc>
  </rcc>
  <rcc rId="5921" sId="1" numFmtId="34">
    <oc r="D203">
      <v>1556305.4</v>
    </oc>
    <nc r="D203">
      <v>1849653.26</v>
    </nc>
  </rcc>
  <rcc rId="5922" sId="1" numFmtId="34">
    <oc r="E203">
      <v>350000</v>
    </oc>
    <nc r="E203">
      <v>1849653.26</v>
    </nc>
  </rcc>
  <rcc rId="5923" sId="1" numFmtId="34">
    <oc r="F203">
      <v>350000</v>
    </oc>
    <nc r="F203">
      <v>1849653.26</v>
    </nc>
  </rcc>
  <rcc rId="5924" sId="1" numFmtId="34">
    <oc r="D207">
      <f>4772643.2+40062+226164.2+100000+200000+1087386+100000</f>
    </oc>
    <nc r="D207">
      <v>5142000</v>
    </nc>
  </rcc>
  <rcc rId="5925" sId="1" numFmtId="34">
    <oc r="E207">
      <v>3545000</v>
    </oc>
    <nc r="E207">
      <v>5142000</v>
    </nc>
  </rcc>
  <rcc rId="5926" sId="1" numFmtId="34">
    <oc r="F207">
      <v>3485000</v>
    </oc>
    <nc r="F207">
      <v>5142000</v>
    </nc>
  </rcc>
  <rcc rId="5927" sId="1" numFmtId="34">
    <oc r="D212">
      <f>7881164.9-320468.9-420000</f>
    </oc>
    <nc r="D212">
      <v>5173948.6100000003</v>
    </nc>
  </rcc>
  <rcc rId="5928" sId="1" numFmtId="34">
    <oc r="E212">
      <v>5977090</v>
    </oc>
    <nc r="E212">
      <v>5173948.6100000003</v>
    </nc>
  </rcc>
  <rcc rId="5929" sId="1" numFmtId="34">
    <oc r="F212">
      <v>5977090</v>
    </oc>
    <nc r="F212">
      <v>5173948.6100000003</v>
    </nc>
  </rcc>
  <rcc rId="5930" sId="1" numFmtId="34">
    <oc r="D215">
      <v>40468.9</v>
    </oc>
    <nc r="D215">
      <v>0</v>
    </nc>
  </rcc>
  <rcc rId="5931" sId="1" numFmtId="34">
    <oc r="D219">
      <f>1824193.22+955150</f>
    </oc>
    <nc r="D219">
      <v>409480</v>
    </nc>
  </rcc>
  <rcc rId="5932" sId="1" numFmtId="34">
    <oc r="E219">
      <v>860030</v>
    </oc>
    <nc r="E219">
      <v>409480</v>
    </nc>
  </rcc>
  <rcc rId="5933" sId="1" numFmtId="34">
    <oc r="F219">
      <v>860030</v>
    </oc>
    <nc r="F219">
      <v>409480</v>
    </nc>
  </rcc>
  <rcc rId="5934" sId="1">
    <oc r="D191">
      <f>#REF!+D196+D200+D204+D209+D216+D192</f>
    </oc>
    <nc r="D191">
      <f>D196+D200+D204+D209+D216+D192</f>
    </nc>
  </rcc>
  <rcc rId="5935" sId="1">
    <oc r="E191">
      <f>#REF!+E196+E200+E204+E209+E216+E192</f>
    </oc>
    <nc r="E191">
      <f>E196+E200+E204+E209+E216+E192</f>
    </nc>
  </rcc>
  <rcc rId="5936" sId="1">
    <oc r="F191">
      <f>#REF!+F196+F200+F204+F209+F216+F192</f>
    </oc>
    <nc r="F191">
      <f>F196+F200+F204+F209+F216+F192</f>
    </nc>
  </rcc>
  <rfmt sheetId="1" sqref="A191:F219">
    <dxf>
      <fill>
        <patternFill patternType="none">
          <bgColor auto="1"/>
        </patternFill>
      </fill>
    </dxf>
  </rfmt>
  <rfmt sheetId="1" sqref="D225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E225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F225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D225" start="0" length="0">
    <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dxf>
  </rfmt>
  <rfmt sheetId="1" sqref="E225" start="0" length="0">
    <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dxf>
  </rfmt>
  <rfmt sheetId="1" sqref="F225" start="0" length="0">
    <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dxf>
  </rfmt>
  <rrc rId="5937" sId="1" ref="A227:XFD227" action="deleteRow">
    <undo index="0" exp="ref" v="1" dr="F227" r="F226" sId="1"/>
    <undo index="0" exp="ref" v="1" dr="E227" r="E226" sId="1"/>
    <undo index="0" exp="ref" v="1" dr="D227" r="D226" sId="1"/>
    <undo index="0" exp="area" ref3D="1" dr="$A$246:$XFD$254" dn="Z_30E81E54_DD45_4653_9DCD_548F6723F554_.wvu.Rows" sId="1"/>
    <rfmt sheetId="1" xfDxf="1" sqref="A227:XFD227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227" t="inlineStr">
        <is>
          <t>Реализация мероприятий по социально-экономическому развитию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05 2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="1" sqref="C227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227">
        <f>D228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27">
        <f>E228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27">
        <f>F228</f>
      </nc>
      <n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7" start="0" length="0">
      <dxf>
        <fill>
          <patternFill patternType="solid">
            <bgColor theme="0"/>
          </patternFill>
        </fill>
      </dxf>
    </rfmt>
    <rfmt sheetId="1" sqref="H227" start="0" length="0">
      <dxf>
        <fill>
          <patternFill patternType="solid">
            <bgColor theme="0"/>
          </patternFill>
        </fill>
      </dxf>
    </rfmt>
    <rfmt sheetId="1" sqref="I227" start="0" length="0">
      <dxf>
        <fill>
          <patternFill patternType="solid">
            <bgColor theme="0"/>
          </patternFill>
        </fill>
      </dxf>
    </rfmt>
    <rfmt sheetId="1" sqref="J227" start="0" length="0">
      <dxf>
        <fill>
          <patternFill patternType="solid">
            <bgColor theme="0"/>
          </patternFill>
        </fill>
      </dxf>
    </rfmt>
  </rrc>
  <rrc rId="5938" sId="1" ref="A227:XFD227" action="deleteRow">
    <undo index="0" exp="area" ref3D="1" dr="$A$245:$XFD$253" dn="Z_30E81E54_DD45_4653_9DCD_548F6723F554_.wvu.Rows" sId="1"/>
    <rfmt sheetId="1" xfDxf="1" sqref="A227:XFD227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227" t="inlineStr">
        <is>
          <t>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27" t="inlineStr">
        <is>
          <t>05 2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200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27">
        <f>D228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27">
        <f>E228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27">
        <f>F228</f>
      </nc>
      <n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7" start="0" length="0">
      <dxf>
        <fill>
          <patternFill patternType="solid">
            <bgColor theme="0"/>
          </patternFill>
        </fill>
      </dxf>
    </rfmt>
    <rfmt sheetId="1" sqref="H227" start="0" length="0">
      <dxf>
        <fill>
          <patternFill patternType="solid">
            <bgColor theme="0"/>
          </patternFill>
        </fill>
      </dxf>
    </rfmt>
    <rfmt sheetId="1" sqref="I227" start="0" length="0">
      <dxf>
        <fill>
          <patternFill patternType="solid">
            <bgColor theme="0"/>
          </patternFill>
        </fill>
      </dxf>
    </rfmt>
    <rfmt sheetId="1" sqref="J227" start="0" length="0">
      <dxf>
        <fill>
          <patternFill patternType="solid">
            <bgColor theme="0"/>
          </patternFill>
        </fill>
      </dxf>
    </rfmt>
  </rrc>
  <rrc rId="5939" sId="1" ref="A227:XFD227" action="deleteRow">
    <undo index="0" exp="area" ref3D="1" dr="$A$244:$XFD$252" dn="Z_30E81E54_DD45_4653_9DCD_548F6723F554_.wvu.Rows" sId="1"/>
    <rfmt sheetId="1" xfDxf="1" sqref="A227:XFD227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227" t="inlineStr">
        <is>
          <t>Иные закупки товаров,работ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27" t="inlineStr">
        <is>
          <t>05 2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240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27">
        <f>D228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27">
        <f>E228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27">
        <f>F228</f>
      </nc>
      <n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7" start="0" length="0">
      <dxf>
        <fill>
          <patternFill patternType="solid">
            <bgColor theme="0"/>
          </patternFill>
        </fill>
      </dxf>
    </rfmt>
    <rfmt sheetId="1" sqref="H227" start="0" length="0">
      <dxf>
        <fill>
          <patternFill patternType="solid">
            <bgColor theme="0"/>
          </patternFill>
        </fill>
      </dxf>
    </rfmt>
    <rfmt sheetId="1" sqref="I227" start="0" length="0">
      <dxf>
        <fill>
          <patternFill patternType="solid">
            <bgColor theme="0"/>
          </patternFill>
        </fill>
      </dxf>
    </rfmt>
    <rfmt sheetId="1" sqref="J227" start="0" length="0">
      <dxf>
        <fill>
          <patternFill patternType="solid">
            <bgColor theme="0"/>
          </patternFill>
        </fill>
      </dxf>
    </rfmt>
  </rrc>
  <rrc rId="5940" sId="1" ref="A227:XFD227" action="deleteRow">
    <undo index="0" exp="area" ref3D="1" dr="$A$243:$XFD$251" dn="Z_30E81E54_DD45_4653_9DCD_548F6723F554_.wvu.Rows" sId="1"/>
    <rfmt sheetId="1" xfDxf="1" sqref="A227:XFD227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227" t="inlineStr">
        <is>
          <t xml:space="preserve">Прочая закупка товаров, работ и услуг 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27" t="inlineStr">
        <is>
          <t>05 2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244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27">
        <f>3000000-182684.5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227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227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7" start="0" length="0">
      <dxf>
        <fill>
          <patternFill patternType="solid">
            <bgColor theme="0"/>
          </patternFill>
        </fill>
      </dxf>
    </rfmt>
    <rfmt sheetId="1" sqref="H227" start="0" length="0">
      <dxf>
        <fill>
          <patternFill patternType="solid">
            <bgColor theme="0"/>
          </patternFill>
        </fill>
      </dxf>
    </rfmt>
    <rfmt sheetId="1" sqref="I227" start="0" length="0">
      <dxf>
        <fill>
          <patternFill patternType="solid">
            <bgColor theme="0"/>
          </patternFill>
        </fill>
      </dxf>
    </rfmt>
    <rfmt sheetId="1" sqref="J227" start="0" length="0">
      <dxf>
        <fill>
          <patternFill patternType="solid">
            <bgColor theme="0"/>
          </patternFill>
        </fill>
      </dxf>
    </rfmt>
  </rrc>
  <rcc rId="5941" sId="1" numFmtId="34">
    <oc r="D230">
      <v>1233656</v>
    </oc>
    <nc r="D230">
      <v>0</v>
    </nc>
  </rcc>
  <rcc rId="5942" sId="1">
    <oc r="D226">
      <f>#REF!+D231+D227</f>
    </oc>
    <nc r="D226">
      <f>D231+D227</f>
    </nc>
  </rcc>
  <rcc rId="5943" sId="1">
    <oc r="E226">
      <f>#REF!+E231+E227</f>
    </oc>
    <nc r="E226">
      <f>E231+E227</f>
    </nc>
  </rcc>
  <rcc rId="5944" sId="1">
    <oc r="F226">
      <f>#REF!+F231+F227</f>
    </oc>
    <nc r="F226">
      <f>F231+F227</f>
    </nc>
  </rcc>
  <rfmt sheetId="1" sqref="D234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E234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F234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cc rId="5945" sId="1" odxf="1" dxf="1" numFmtId="34">
    <oc r="D234">
      <v>1454000</v>
    </oc>
    <nc r="D234">
      <v>1493907.33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946" sId="1" odxf="1" dxf="1" numFmtId="34">
    <oc r="E234">
      <v>1150000</v>
    </oc>
    <nc r="E234">
      <v>1200000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947" sId="1" odxf="1" dxf="1" numFmtId="34">
    <oc r="F234">
      <v>1150000</v>
    </oc>
    <nc r="F234">
      <v>1200000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fmt sheetId="1" sqref="D250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E250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F250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cc rId="5948" sId="1">
    <oc r="E249">
      <f>E250</f>
    </oc>
    <nc r="E249">
      <f>E250</f>
    </nc>
  </rcc>
  <rcc rId="5949" sId="1">
    <oc r="F249">
      <f>F250</f>
    </oc>
    <nc r="F249">
      <f>F250</f>
    </nc>
  </rcc>
  <rcc rId="5950" sId="1" odxf="1" dxf="1" numFmtId="34">
    <oc r="D250">
      <v>65000</v>
    </oc>
    <nc r="D250">
      <v>105000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951" sId="1" odxf="1" dxf="1" numFmtId="34">
    <oc r="E250">
      <v>365000</v>
    </oc>
    <nc r="E250">
      <v>105000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952" sId="1" odxf="1" dxf="1" numFmtId="34">
    <oc r="F250">
      <v>365000</v>
    </oc>
    <nc r="F250">
      <v>105000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rc rId="5953" sId="1" ref="A243:XFD243" action="deleteRow">
    <undo index="1" exp="ref" v="1" dr="F243" r="F242" sId="1"/>
    <undo index="1" exp="ref" v="1" dr="E243" r="E242" sId="1"/>
    <undo index="1" exp="ref" v="1" dr="D243" r="D242" sId="1"/>
    <undo index="0" exp="area" ref3D="1" dr="$A$242:$XFD$250" dn="Z_30E81E54_DD45_4653_9DCD_548F6723F554_.wvu.Rows" sId="1"/>
    <rfmt sheetId="1" xfDxf="1" sqref="A243:XFD243" start="0" length="0">
      <dxf>
        <font>
          <name val="Times New Roman"/>
          <scheme val="none"/>
        </font>
        <fill>
          <patternFill patternType="solid">
            <bgColor theme="5" tint="0.39997558519241921"/>
          </patternFill>
        </fill>
        <alignment vertical="center" readingOrder="0"/>
      </dxf>
    </rfmt>
    <rcc rId="0" sId="1" dxf="1">
      <nc r="A243" t="inlineStr">
        <is>
          <t>Реализация мероприятий по социально-экономическому развитию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43" t="inlineStr">
        <is>
          <t>05 4 00 Э8160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243" start="0" length="0">
      <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243">
        <f>D244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43">
        <f>E244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43">
        <f>F244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3" start="0" length="0">
      <dxf>
        <fill>
          <patternFill>
            <bgColor theme="0"/>
          </patternFill>
        </fill>
      </dxf>
    </rfmt>
    <rfmt sheetId="1" sqref="H243" start="0" length="0">
      <dxf>
        <fill>
          <patternFill>
            <bgColor theme="0"/>
          </patternFill>
        </fill>
      </dxf>
    </rfmt>
    <rfmt sheetId="1" sqref="I243" start="0" length="0">
      <dxf>
        <fill>
          <patternFill>
            <bgColor theme="0"/>
          </patternFill>
        </fill>
      </dxf>
    </rfmt>
    <rfmt sheetId="1" sqref="J243" start="0" length="0">
      <dxf>
        <fill>
          <patternFill>
            <bgColor theme="0"/>
          </patternFill>
        </fill>
      </dxf>
    </rfmt>
  </rrc>
  <rrc rId="5954" sId="1" ref="A243:XFD243" action="deleteRow">
    <undo index="0" exp="area" ref3D="1" dr="$A$242:$XFD$249" dn="Z_30E81E54_DD45_4653_9DCD_548F6723F554_.wvu.Rows" sId="1"/>
    <rfmt sheetId="1" xfDxf="1" sqref="A243:XFD243" start="0" length="0">
      <dxf>
        <font>
          <name val="Times New Roman"/>
          <scheme val="none"/>
        </font>
        <fill>
          <patternFill patternType="solid">
            <bgColor theme="5" tint="0.39997558519241921"/>
          </patternFill>
        </fill>
        <alignment vertical="center" readingOrder="0"/>
      </dxf>
    </rfmt>
    <rcc rId="0" sId="1" dxf="1">
      <nc r="A243" t="inlineStr">
        <is>
          <t>Закупка товаров, работ и услуг для обеспечения государственных (муниципальных) нужд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43" t="inlineStr">
        <is>
          <t>05 4 00 Э8160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43">
        <v>200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43">
        <f>D244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43">
        <f>E244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43">
        <f>F244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3" start="0" length="0">
      <dxf>
        <fill>
          <patternFill>
            <bgColor theme="0"/>
          </patternFill>
        </fill>
      </dxf>
    </rfmt>
    <rfmt sheetId="1" sqref="H243" start="0" length="0">
      <dxf>
        <fill>
          <patternFill>
            <bgColor theme="0"/>
          </patternFill>
        </fill>
      </dxf>
    </rfmt>
    <rfmt sheetId="1" sqref="I243" start="0" length="0">
      <dxf>
        <fill>
          <patternFill>
            <bgColor theme="0"/>
          </patternFill>
        </fill>
      </dxf>
    </rfmt>
    <rfmt sheetId="1" sqref="J243" start="0" length="0">
      <dxf>
        <fill>
          <patternFill>
            <bgColor theme="0"/>
          </patternFill>
        </fill>
      </dxf>
    </rfmt>
  </rrc>
  <rrc rId="5955" sId="1" ref="A243:XFD243" action="deleteRow">
    <undo index="0" exp="area" ref3D="1" dr="$A$242:$XFD$248" dn="Z_30E81E54_DD45_4653_9DCD_548F6723F554_.wvu.Rows" sId="1"/>
    <rfmt sheetId="1" xfDxf="1" sqref="A243:XFD243" start="0" length="0">
      <dxf>
        <font>
          <name val="Times New Roman"/>
          <scheme val="none"/>
        </font>
        <fill>
          <patternFill patternType="solid">
            <bgColor theme="5" tint="0.39997558519241921"/>
          </patternFill>
        </fill>
        <alignment vertical="center" readingOrder="0"/>
      </dxf>
    </rfmt>
    <rcc rId="0" sId="1" dxf="1">
      <nc r="A243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43" t="inlineStr">
        <is>
          <t>05 4 00 Э8160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43">
        <v>240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43">
        <f>D244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43">
        <f>E244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43">
        <f>F244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3" start="0" length="0">
      <dxf>
        <fill>
          <patternFill>
            <bgColor theme="0"/>
          </patternFill>
        </fill>
      </dxf>
    </rfmt>
    <rfmt sheetId="1" sqref="H243" start="0" length="0">
      <dxf>
        <fill>
          <patternFill>
            <bgColor theme="0"/>
          </patternFill>
        </fill>
      </dxf>
    </rfmt>
    <rfmt sheetId="1" sqref="I243" start="0" length="0">
      <dxf>
        <fill>
          <patternFill>
            <bgColor theme="0"/>
          </patternFill>
        </fill>
      </dxf>
    </rfmt>
    <rfmt sheetId="1" sqref="J243" start="0" length="0">
      <dxf>
        <fill>
          <patternFill>
            <bgColor theme="0"/>
          </patternFill>
        </fill>
      </dxf>
    </rfmt>
  </rrc>
  <rrc rId="5956" sId="1" ref="A243:XFD243" action="deleteRow">
    <undo index="0" exp="area" ref3D="1" dr="$A$242:$XFD$247" dn="Z_30E81E54_DD45_4653_9DCD_548F6723F554_.wvu.Rows" sId="1"/>
    <rfmt sheetId="1" xfDxf="1" sqref="A243:XFD243" start="0" length="0">
      <dxf>
        <font>
          <name val="Times New Roman"/>
          <scheme val="none"/>
        </font>
        <fill>
          <patternFill patternType="solid">
            <bgColor theme="5" tint="0.39997558519241921"/>
          </patternFill>
        </fill>
        <alignment vertical="center" readingOrder="0"/>
      </dxf>
    </rfmt>
    <rcc rId="0" sId="1" dxf="1">
      <nc r="A243" t="inlineStr">
        <is>
          <t xml:space="preserve">Прочая закупка товаров, работ и услуг 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43" t="inlineStr">
        <is>
          <t>05 4 00 Э8160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43">
        <v>244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243">
        <v>700000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43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43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3" start="0" length="0">
      <dxf>
        <fill>
          <patternFill>
            <bgColor theme="0"/>
          </patternFill>
        </fill>
      </dxf>
    </rfmt>
    <rfmt sheetId="1" sqref="H243" start="0" length="0">
      <dxf>
        <fill>
          <patternFill>
            <bgColor theme="0"/>
          </patternFill>
        </fill>
      </dxf>
    </rfmt>
    <rfmt sheetId="1" sqref="I243" start="0" length="0">
      <dxf>
        <fill>
          <patternFill>
            <bgColor theme="0"/>
          </patternFill>
        </fill>
      </dxf>
    </rfmt>
    <rfmt sheetId="1" sqref="J243" start="0" length="0">
      <dxf>
        <fill>
          <patternFill>
            <bgColor theme="0"/>
          </patternFill>
        </fill>
      </dxf>
    </rfmt>
  </rrc>
  <rcc rId="5957" sId="1">
    <oc r="D242">
      <f>D246+#REF!</f>
    </oc>
    <nc r="D242">
      <f>D246</f>
    </nc>
  </rcc>
  <rcc rId="5958" sId="1">
    <oc r="E242">
      <f>E246+#REF!</f>
    </oc>
    <nc r="E242">
      <f>E246</f>
    </nc>
  </rcc>
  <rcc rId="5959" sId="1">
    <oc r="F242">
      <f>F246+#REF!</f>
    </oc>
    <nc r="F242">
      <f>F246</f>
    </nc>
  </rcc>
  <rcc rId="5960" sId="1" numFmtId="34">
    <oc r="D241">
      <v>76900</v>
    </oc>
    <nc r="D241">
      <v>105000</v>
    </nc>
  </rcc>
  <rcc rId="5961" sId="1" numFmtId="34">
    <oc r="E241">
      <v>76900</v>
    </oc>
    <nc r="E241">
      <v>105000</v>
    </nc>
  </rcc>
  <rcc rId="5962" sId="1" numFmtId="34">
    <oc r="F241">
      <v>76900</v>
    </oc>
    <nc r="F241">
      <v>105000</v>
    </nc>
  </rcc>
  <rcc rId="5963" sId="1" numFmtId="34">
    <oc r="D225">
      <v>35000</v>
    </oc>
    <nc r="D225">
      <v>890000</v>
    </nc>
  </rcc>
  <rcc rId="5964" sId="1" numFmtId="34">
    <oc r="E225">
      <v>35000</v>
    </oc>
    <nc r="E225">
      <v>890000</v>
    </nc>
  </rcc>
  <rcc rId="5965" sId="1" numFmtId="34">
    <oc r="F225">
      <v>35000</v>
    </oc>
    <nc r="F225">
      <v>890000</v>
    </nc>
  </rcc>
  <rcc rId="5966" sId="1" numFmtId="34">
    <oc r="D236">
      <v>75000</v>
    </oc>
    <nc r="D236">
      <v>0</v>
    </nc>
  </rcc>
  <rfmt sheetId="1" sqref="A220:G246">
    <dxf>
      <fill>
        <patternFill patternType="none">
          <bgColor auto="1"/>
        </patternFill>
      </fill>
    </dxf>
  </rfmt>
  <rcc rId="5967" sId="1" numFmtId="34">
    <oc r="D252">
      <f>533800+30000</f>
    </oc>
    <nc r="D252">
      <v>860700</v>
    </nc>
  </rcc>
  <rcc rId="5968" sId="1" numFmtId="34">
    <oc r="D259">
      <f>1552000-52000</f>
    </oc>
    <nc r="D259">
      <v>1400000</v>
    </nc>
  </rcc>
  <rcc rId="5969" sId="1" numFmtId="34">
    <oc r="E259">
      <v>1552000</v>
    </oc>
    <nc r="E259">
      <v>1400000</v>
    </nc>
  </rcc>
  <rcc rId="5970" sId="1" numFmtId="34">
    <oc r="F259">
      <v>1552000</v>
    </oc>
    <nc r="F259">
      <v>1400000</v>
    </nc>
  </rcc>
  <rcc rId="5971" sId="1">
    <oc r="D255">
      <f>626262+540263.29-648+384000</f>
    </oc>
    <nc r="D255">
      <f>809500+907140.56</f>
    </nc>
  </rcc>
  <rcc rId="5972" sId="1">
    <oc r="E255">
      <v>1194300</v>
    </oc>
    <nc r="E255">
      <f>809500+907140.56</f>
    </nc>
  </rcc>
  <rcc rId="5973" sId="1">
    <oc r="F255">
      <v>1194300</v>
    </oc>
    <nc r="F255">
      <f>809500+907140.56</f>
    </nc>
  </rcc>
  <rcc rId="5974" sId="1" odxf="1" dxf="1" numFmtId="34">
    <oc r="D256">
      <f>315174.71+16000</f>
    </oc>
    <nc r="D256">
      <v>194072.49</v>
    </nc>
    <ndxf>
      <numFmt numFmtId="164" formatCode="_-* #,##0.00_р_._-;\-* #,##0.00_р_._-;_-* &quot;-&quot;??_р_._-;_-@_-"/>
      <alignment horizontal="general" readingOrder="0"/>
    </ndxf>
  </rcc>
  <rcc rId="5975" sId="1" odxf="1" dxf="1" numFmtId="34">
    <oc r="E256">
      <v>287400</v>
    </oc>
    <nc r="E256">
      <v>194072.49</v>
    </nc>
    <ndxf>
      <numFmt numFmtId="164" formatCode="_-* #,##0.00_р_._-;\-* #,##0.00_р_._-;_-* &quot;-&quot;??_р_._-;_-@_-"/>
      <alignment horizontal="general" readingOrder="0"/>
    </ndxf>
  </rcc>
  <rcc rId="5976" sId="1" odxf="1" dxf="1" numFmtId="34">
    <oc r="F256">
      <v>287400</v>
    </oc>
    <nc r="F256">
      <v>194072.49</v>
    </nc>
    <ndxf>
      <numFmt numFmtId="164" formatCode="_-* #,##0.00_р_._-;\-* #,##0.00_р_._-;_-* &quot;-&quot;??_р_._-;_-@_-"/>
      <alignment horizontal="general" readingOrder="0"/>
    </ndxf>
  </rcc>
  <rcc rId="5977" sId="1" numFmtId="34">
    <nc r="E261">
      <v>648</v>
    </nc>
  </rcc>
  <rcc rId="5978" sId="1" numFmtId="34">
    <nc r="F261">
      <v>648</v>
    </nc>
  </rcc>
  <rcc rId="5979" sId="1" numFmtId="34">
    <oc r="D265">
      <v>6796225</v>
    </oc>
    <nc r="D265"/>
  </rcc>
  <rcc rId="5980" sId="1" numFmtId="34">
    <oc r="E265">
      <v>500000</v>
    </oc>
    <nc r="E265"/>
  </rcc>
  <rcc rId="5981" sId="1" numFmtId="34">
    <oc r="F265">
      <v>500000</v>
    </oc>
    <nc r="F265"/>
  </rcc>
  <rcc rId="5982" sId="1" numFmtId="34">
    <oc r="E276">
      <v>110000</v>
    </oc>
    <nc r="E276">
      <v>0</v>
    </nc>
  </rcc>
  <rcc rId="5983" sId="1" numFmtId="34">
    <oc r="F276">
      <v>110000</v>
    </oc>
    <nc r="F276">
      <v>0</v>
    </nc>
  </rcc>
  <rrc rId="5984" sId="1" ref="A273:XFD273" action="deleteRow">
    <undo index="3" exp="ref" v="1" dr="F273" r="F266" sId="1"/>
    <undo index="3" exp="ref" v="1" dr="E273" r="E266" sId="1"/>
    <undo index="3" exp="ref" v="1" dr="D273" r="D266" sId="1"/>
    <rfmt sheetId="1" xfDxf="1" sqref="A273:XFD273" start="0" length="0">
      <dxf>
        <font>
          <name val="Times New Roman"/>
          <scheme val="none"/>
        </font>
        <alignment vertical="center" readingOrder="0"/>
      </dxf>
    </rfmt>
    <rcc rId="0" sId="1" dxf="1">
      <nc r="A273" t="inlineStr">
        <is>
          <t>Реализация федеральной целевой программы "Увековечение памяти погибших при защите Отечества на 2019-2024 годы"</t>
        </is>
      </nc>
      <ndxf>
        <fill>
          <patternFill patternType="solid"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3" t="inlineStr">
        <is>
          <t>06 2 00 L2990</t>
        </is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273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273">
        <f>D274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3">
        <f>E274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3">
        <f>F274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3" start="0" length="0">
      <dxf>
        <fill>
          <patternFill patternType="solid">
            <bgColor theme="0"/>
          </patternFill>
        </fill>
      </dxf>
    </rfmt>
    <rfmt sheetId="1" sqref="H273" start="0" length="0">
      <dxf>
        <fill>
          <patternFill patternType="solid">
            <bgColor theme="0"/>
          </patternFill>
        </fill>
      </dxf>
    </rfmt>
    <rfmt sheetId="1" sqref="I273" start="0" length="0">
      <dxf>
        <fill>
          <patternFill patternType="solid">
            <bgColor theme="0"/>
          </patternFill>
        </fill>
      </dxf>
    </rfmt>
    <rfmt sheetId="1" sqref="J273" start="0" length="0">
      <dxf>
        <fill>
          <patternFill patternType="solid">
            <bgColor theme="0"/>
          </patternFill>
        </fill>
      </dxf>
    </rfmt>
  </rrc>
  <rrc rId="5985" sId="1" ref="A273:XFD273" action="deleteRow">
    <rfmt sheetId="1" xfDxf="1" sqref="A273:XFD273" start="0" length="0">
      <dxf>
        <font>
          <name val="Times New Roman"/>
          <scheme val="none"/>
        </font>
        <alignment vertical="center" readingOrder="0"/>
      </dxf>
    </rfmt>
    <rcc rId="0" sId="1" dxf="1">
      <nc r="A273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3" t="inlineStr">
        <is>
          <t>06 2 00 L2990</t>
        </is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3">
        <v>200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3">
        <f>D274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3">
        <f>E274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3">
        <f>F274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3" start="0" length="0">
      <dxf>
        <fill>
          <patternFill patternType="solid">
            <bgColor theme="0"/>
          </patternFill>
        </fill>
      </dxf>
    </rfmt>
    <rfmt sheetId="1" sqref="H273" start="0" length="0">
      <dxf>
        <fill>
          <patternFill patternType="solid">
            <bgColor theme="0"/>
          </patternFill>
        </fill>
      </dxf>
    </rfmt>
    <rfmt sheetId="1" sqref="I273" start="0" length="0">
      <dxf>
        <fill>
          <patternFill patternType="solid">
            <bgColor theme="0"/>
          </patternFill>
        </fill>
      </dxf>
    </rfmt>
    <rfmt sheetId="1" sqref="J273" start="0" length="0">
      <dxf>
        <fill>
          <patternFill patternType="solid">
            <bgColor theme="0"/>
          </patternFill>
        </fill>
      </dxf>
    </rfmt>
  </rrc>
  <rrc rId="5986" sId="1" ref="A273:XFD273" action="deleteRow">
    <rfmt sheetId="1" xfDxf="1" sqref="A273:XFD273" start="0" length="0">
      <dxf>
        <font>
          <name val="Times New Roman"/>
          <scheme val="none"/>
        </font>
        <alignment vertical="center" readingOrder="0"/>
      </dxf>
    </rfmt>
    <rcc rId="0" sId="1" dxf="1">
      <nc r="A273" t="inlineStr">
        <is>
          <t>Иные закупки товаров, 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3" t="inlineStr">
        <is>
          <t>06 2 00 L2990</t>
        </is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3">
        <v>240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3">
        <f>D274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3">
        <f>E274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3">
        <f>F274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3" start="0" length="0">
      <dxf>
        <fill>
          <patternFill patternType="solid">
            <bgColor theme="0"/>
          </patternFill>
        </fill>
      </dxf>
    </rfmt>
    <rfmt sheetId="1" sqref="H273" start="0" length="0">
      <dxf>
        <fill>
          <patternFill patternType="solid">
            <bgColor theme="0"/>
          </patternFill>
        </fill>
      </dxf>
    </rfmt>
    <rfmt sheetId="1" sqref="I273" start="0" length="0">
      <dxf>
        <fill>
          <patternFill patternType="solid">
            <bgColor theme="0"/>
          </patternFill>
        </fill>
      </dxf>
    </rfmt>
    <rfmt sheetId="1" sqref="J273" start="0" length="0">
      <dxf>
        <fill>
          <patternFill patternType="solid">
            <bgColor theme="0"/>
          </patternFill>
        </fill>
      </dxf>
    </rfmt>
  </rrc>
  <rcc rId="5987" sId="1" numFmtId="34">
    <oc r="D277">
      <v>1499999</v>
    </oc>
    <nc r="D277">
      <v>0</v>
    </nc>
  </rcc>
  <rcc rId="5988" sId="1" numFmtId="34">
    <oc r="D272">
      <f>257000-16665.3</f>
    </oc>
    <nc r="D272">
      <v>257000</v>
    </nc>
  </rcc>
  <rcc rId="5989" sId="1" numFmtId="34">
    <oc r="D269">
      <v>16665.3</v>
    </oc>
    <nc r="D269">
      <v>0</v>
    </nc>
  </rcc>
  <rrc rId="5990" sId="1" ref="A274:XFD274" action="deleteRow">
    <undo index="7" exp="ref" v="1" dr="F274" r="F266" sId="1"/>
    <undo index="7" exp="ref" v="1" dr="E274" r="E266" sId="1"/>
    <undo index="7" exp="ref" v="1" dr="D274" r="D266" sId="1"/>
    <rfmt sheetId="1" xfDxf="1" sqref="A274:XFD274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274" t="inlineStr">
        <is>
          <t>Ремонт, реконструкция, благоустройство и установка памятников, обелисков, мемориалов, памятных досок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4" t="inlineStr">
        <is>
          <t>06 2 00 S4420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274" start="0" length="0">
      <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274">
        <f>D275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4">
        <f>E275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4">
        <f>F275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4" start="0" length="0">
      <dxf>
        <fill>
          <patternFill>
            <bgColor theme="0"/>
          </patternFill>
        </fill>
      </dxf>
    </rfmt>
    <rfmt sheetId="1" sqref="H274" start="0" length="0">
      <dxf>
        <fill>
          <patternFill>
            <bgColor theme="0"/>
          </patternFill>
        </fill>
      </dxf>
    </rfmt>
    <rfmt sheetId="1" sqref="I274" start="0" length="0">
      <dxf>
        <fill>
          <patternFill>
            <bgColor theme="0"/>
          </patternFill>
        </fill>
      </dxf>
    </rfmt>
    <rfmt sheetId="1" sqref="J274" start="0" length="0">
      <dxf>
        <fill>
          <patternFill>
            <bgColor theme="0"/>
          </patternFill>
        </fill>
      </dxf>
    </rfmt>
  </rrc>
  <rrc rId="5991" sId="1" ref="A274:XFD274" action="deleteRow">
    <rfmt sheetId="1" xfDxf="1" sqref="A274:XFD274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274" t="inlineStr">
        <is>
          <t>Закупка товаров, работ и услуг для обеспечения государственных (муниципальных) нужд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4" t="inlineStr">
        <is>
          <t>06 2 00 S4420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4">
        <v>200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4">
        <f>D275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4">
        <f>E275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4">
        <f>F275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4" start="0" length="0">
      <dxf>
        <fill>
          <patternFill>
            <bgColor theme="0"/>
          </patternFill>
        </fill>
      </dxf>
    </rfmt>
    <rfmt sheetId="1" sqref="H274" start="0" length="0">
      <dxf>
        <fill>
          <patternFill>
            <bgColor theme="0"/>
          </patternFill>
        </fill>
      </dxf>
    </rfmt>
    <rfmt sheetId="1" sqref="I274" start="0" length="0">
      <dxf>
        <fill>
          <patternFill>
            <bgColor theme="0"/>
          </patternFill>
        </fill>
      </dxf>
    </rfmt>
    <rfmt sheetId="1" sqref="J274" start="0" length="0">
      <dxf>
        <fill>
          <patternFill>
            <bgColor theme="0"/>
          </patternFill>
        </fill>
      </dxf>
    </rfmt>
  </rrc>
  <rrc rId="5992" sId="1" ref="A274:XFD274" action="deleteRow">
    <rfmt sheetId="1" xfDxf="1" sqref="A274:XFD274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274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4" t="inlineStr">
        <is>
          <t>06 2 00 S4420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4">
        <v>240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4">
        <f>D275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4">
        <f>E275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4">
        <f>F275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4" start="0" length="0">
      <dxf>
        <fill>
          <patternFill>
            <bgColor theme="0"/>
          </patternFill>
        </fill>
      </dxf>
    </rfmt>
    <rfmt sheetId="1" sqref="H274" start="0" length="0">
      <dxf>
        <fill>
          <patternFill>
            <bgColor theme="0"/>
          </patternFill>
        </fill>
      </dxf>
    </rfmt>
    <rfmt sheetId="1" sqref="I274" start="0" length="0">
      <dxf>
        <fill>
          <patternFill>
            <bgColor theme="0"/>
          </patternFill>
        </fill>
      </dxf>
    </rfmt>
    <rfmt sheetId="1" sqref="J274" start="0" length="0">
      <dxf>
        <fill>
          <patternFill>
            <bgColor theme="0"/>
          </patternFill>
        </fill>
      </dxf>
    </rfmt>
  </rrc>
  <rrc rId="5993" sId="1" ref="A274:XFD274" action="deleteRow">
    <rfmt sheetId="1" xfDxf="1" sqref="A274:XFD274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274" t="inlineStr">
        <is>
          <t xml:space="preserve">Прочая закупка товаров, работ и услуг 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4" t="inlineStr">
        <is>
          <t>06 2 00 S4420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4">
        <v>244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274">
        <v>0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74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74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4" start="0" length="0">
      <dxf>
        <fill>
          <patternFill>
            <bgColor theme="0"/>
          </patternFill>
        </fill>
      </dxf>
    </rfmt>
    <rfmt sheetId="1" sqref="H274" start="0" length="0">
      <dxf>
        <fill>
          <patternFill>
            <bgColor theme="0"/>
          </patternFill>
        </fill>
      </dxf>
    </rfmt>
    <rfmt sheetId="1" sqref="I274" start="0" length="0">
      <dxf>
        <fill>
          <patternFill>
            <bgColor theme="0"/>
          </patternFill>
        </fill>
      </dxf>
    </rfmt>
    <rfmt sheetId="1" sqref="J274" start="0" length="0">
      <dxf>
        <fill>
          <patternFill>
            <bgColor theme="0"/>
          </patternFill>
        </fill>
      </dxf>
    </rfmt>
  </rrc>
  <rcc rId="5994" sId="1" numFmtId="34">
    <oc r="D281">
      <f>674946.39+27776.16-65913.99</f>
    </oc>
    <nc r="D281">
      <v>0</v>
    </nc>
  </rcc>
  <rcc rId="5995" sId="1" numFmtId="34">
    <oc r="D278">
      <f>23782.59+19168.76</f>
    </oc>
    <nc r="D278">
      <v>0</v>
    </nc>
  </rcc>
  <rcc rId="5996" sId="1" numFmtId="34">
    <oc r="D277">
      <f>78750.29+63472.76</f>
    </oc>
    <nc r="D277">
      <v>0</v>
    </nc>
  </rcc>
  <rcc rId="5997" sId="1">
    <oc r="D285">
      <f>44632.9-44503.69</f>
    </oc>
    <nc r="D285"/>
  </rcc>
  <rcc rId="5998" sId="1" numFmtId="34">
    <oc r="E285">
      <v>171912.17</v>
    </oc>
    <nc r="E285"/>
  </rcc>
  <rcc rId="5999" sId="1" numFmtId="34">
    <oc r="F285">
      <v>171912.17</v>
    </oc>
    <nc r="F285"/>
  </rcc>
  <rrc rId="6000" sId="1" ref="A282:XFD282" action="deleteRow">
    <undo index="1" exp="ref" v="1" dr="F282" r="F266" sId="1"/>
    <undo index="1" exp="ref" v="1" dr="E282" r="E266" sId="1"/>
    <undo index="1" exp="ref" v="1" dr="D282" r="D266" sId="1"/>
    <rfmt sheetId="1" xfDxf="1" sqref="A282:XFD282" start="0" length="0">
      <dxf>
        <font>
          <name val="Times New Roman"/>
          <scheme val="none"/>
        </font>
        <alignment vertical="center" readingOrder="0"/>
      </dxf>
    </rfmt>
    <rcc rId="0" sId="1" dxf="1">
      <nc r="A282" t="inlineStr">
        <is>
          <t>Мероприятия по реализации молодежной политики в муниципальных образованиях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82" t="inlineStr">
        <is>
          <t>06 2 00 S8530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2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282">
        <f>D283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2">
        <f>E283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2">
        <f>F283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2" start="0" length="0">
      <dxf>
        <fill>
          <patternFill patternType="solid">
            <bgColor theme="0"/>
          </patternFill>
        </fill>
      </dxf>
    </rfmt>
    <rfmt sheetId="1" sqref="H282" start="0" length="0">
      <dxf>
        <fill>
          <patternFill patternType="solid">
            <bgColor theme="0"/>
          </patternFill>
        </fill>
      </dxf>
    </rfmt>
    <rfmt sheetId="1" sqref="I282" start="0" length="0">
      <dxf>
        <fill>
          <patternFill patternType="solid">
            <bgColor theme="0"/>
          </patternFill>
        </fill>
      </dxf>
    </rfmt>
    <rfmt sheetId="1" sqref="J282" start="0" length="0">
      <dxf>
        <fill>
          <patternFill patternType="solid">
            <bgColor theme="0"/>
          </patternFill>
        </fill>
      </dxf>
    </rfmt>
  </rrc>
  <rrc rId="6001" sId="1" ref="A282:XFD282" action="deleteRow">
    <rfmt sheetId="1" xfDxf="1" sqref="A282:XFD282" start="0" length="0">
      <dxf>
        <font>
          <name val="Times New Roman"/>
          <scheme val="none"/>
        </font>
        <alignment vertical="center" readingOrder="0"/>
      </dxf>
    </rfmt>
    <rcc rId="0" sId="1" dxf="1">
      <nc r="A282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82" t="inlineStr">
        <is>
          <t>06 2 00 S8530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>
        <v>600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82">
        <f>D283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2">
        <f>E283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2">
        <f>F283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2" start="0" length="0">
      <dxf>
        <fill>
          <patternFill patternType="solid">
            <bgColor theme="0"/>
          </patternFill>
        </fill>
      </dxf>
    </rfmt>
    <rfmt sheetId="1" sqref="H282" start="0" length="0">
      <dxf>
        <fill>
          <patternFill patternType="solid">
            <bgColor theme="0"/>
          </patternFill>
        </fill>
      </dxf>
    </rfmt>
    <rfmt sheetId="1" sqref="I282" start="0" length="0">
      <dxf>
        <fill>
          <patternFill patternType="solid">
            <bgColor theme="0"/>
          </patternFill>
        </fill>
      </dxf>
    </rfmt>
    <rfmt sheetId="1" sqref="J282" start="0" length="0">
      <dxf>
        <fill>
          <patternFill patternType="solid">
            <bgColor theme="0"/>
          </patternFill>
        </fill>
      </dxf>
    </rfmt>
  </rrc>
  <rrc rId="6002" sId="1" ref="A282:XFD282" action="deleteRow">
    <rfmt sheetId="1" xfDxf="1" sqref="A282:XFD282" start="0" length="0">
      <dxf>
        <font>
          <name val="Times New Roman"/>
          <scheme val="none"/>
        </font>
        <alignment vertical="center" readingOrder="0"/>
      </dxf>
    </rfmt>
    <rcc rId="0" sId="1" dxf="1">
      <nc r="A282" t="inlineStr">
        <is>
          <t>Субсидии бюджетным учреждениям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82" t="inlineStr">
        <is>
          <t>06 2 00 S8530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>
        <v>610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82">
        <f>D283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2">
        <f>E283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2">
        <f>F283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2" start="0" length="0">
      <dxf>
        <fill>
          <patternFill patternType="solid">
            <bgColor theme="0"/>
          </patternFill>
        </fill>
      </dxf>
    </rfmt>
    <rfmt sheetId="1" sqref="H282" start="0" length="0">
      <dxf>
        <fill>
          <patternFill patternType="solid">
            <bgColor theme="0"/>
          </patternFill>
        </fill>
      </dxf>
    </rfmt>
    <rfmt sheetId="1" sqref="I282" start="0" length="0">
      <dxf>
        <fill>
          <patternFill patternType="solid">
            <bgColor theme="0"/>
          </patternFill>
        </fill>
      </dxf>
    </rfmt>
    <rfmt sheetId="1" sqref="J282" start="0" length="0">
      <dxf>
        <fill>
          <patternFill patternType="solid">
            <bgColor theme="0"/>
          </patternFill>
        </fill>
      </dxf>
    </rfmt>
  </rrc>
  <rrc rId="6003" sId="1" ref="A282:XFD282" action="deleteRow">
    <rfmt sheetId="1" xfDxf="1" sqref="A282:XFD282" start="0" length="0">
      <dxf>
        <font>
          <name val="Times New Roman"/>
          <scheme val="none"/>
        </font>
        <alignment vertical="center" readingOrder="0"/>
      </dxf>
    </rfmt>
    <rcc rId="0" sId="1" dxf="1">
      <nc r="A282" t="inlineStr">
        <is>
          <t>Субсидии бюджетным учреждениям на иные цели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82" t="inlineStr">
        <is>
          <t>06 2 00 S8530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>
        <v>612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28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28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82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2" start="0" length="0">
      <dxf>
        <fill>
          <patternFill patternType="solid">
            <bgColor theme="0"/>
          </patternFill>
        </fill>
      </dxf>
    </rfmt>
    <rfmt sheetId="1" sqref="H282" start="0" length="0">
      <dxf>
        <fill>
          <patternFill patternType="solid">
            <bgColor theme="0"/>
          </patternFill>
        </fill>
      </dxf>
    </rfmt>
    <rfmt sheetId="1" sqref="I282" start="0" length="0">
      <dxf>
        <fill>
          <patternFill patternType="solid">
            <bgColor theme="0"/>
          </patternFill>
        </fill>
      </dxf>
    </rfmt>
    <rfmt sheetId="1" sqref="J282" start="0" length="0">
      <dxf>
        <fill>
          <patternFill patternType="solid">
            <bgColor theme="0"/>
          </patternFill>
        </fill>
      </dxf>
    </rfmt>
  </rrc>
  <rrc rId="6004" sId="1" ref="A273:XFD273" action="deleteRow">
    <rfmt sheetId="1" xfDxf="1" sqref="A273:XFD273" start="0" length="0">
      <dxf>
        <font>
          <name val="Times New Roman"/>
          <scheme val="none"/>
        </font>
        <alignment vertical="center" readingOrder="0"/>
      </dxf>
    </rfmt>
    <rcc rId="0" sId="1" dxf="1">
      <nc r="A273" t="inlineStr">
        <is>
          <t>Прочая закупка товаров, работ и услуг</t>
        </is>
      </nc>
      <ndxf>
        <fill>
          <patternFill patternType="solid"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3" t="inlineStr">
        <is>
          <t>06 2 00 L2990</t>
        </is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3">
        <v>244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273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273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273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3" start="0" length="0">
      <dxf>
        <fill>
          <patternFill patternType="solid">
            <bgColor theme="0"/>
          </patternFill>
        </fill>
      </dxf>
    </rfmt>
    <rfmt sheetId="1" sqref="H273" start="0" length="0">
      <dxf>
        <fill>
          <patternFill patternType="solid">
            <bgColor theme="0"/>
          </patternFill>
        </fill>
      </dxf>
    </rfmt>
    <rfmt sheetId="1" sqref="I273" start="0" length="0">
      <dxf>
        <fill>
          <patternFill patternType="solid">
            <bgColor theme="0"/>
          </patternFill>
        </fill>
      </dxf>
    </rfmt>
    <rfmt sheetId="1" sqref="J273" start="0" length="0">
      <dxf>
        <fill>
          <patternFill patternType="solid">
            <bgColor theme="0"/>
          </patternFill>
        </fill>
      </dxf>
    </rfmt>
  </rrc>
  <rrc rId="6005" sId="1" ref="A267:XFD267" action="deleteRow">
    <undo index="9" exp="ref" v="1" dr="F267" r="F266" sId="1"/>
    <undo index="9" exp="ref" v="1" dr="E267" r="E266" sId="1"/>
    <undo index="9" exp="ref" v="1" dr="D267" r="D266" sId="1"/>
    <rfmt sheetId="1" xfDxf="1" sqref="A267:XFD267" start="0" length="0">
      <dxf>
        <font>
          <i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267" t="inlineStr">
        <is>
  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  </is>
      </nc>
      <ndxf>
        <font>
          <i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67" t="inlineStr">
        <is>
          <t>06 2 00 80420</t>
        </is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67">
        <v>100</v>
      </nc>
      <ndxf>
        <font>
          <i val="0"/>
          <sz val="10"/>
          <color auto="1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67">
        <f>D268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7">
        <f>E268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7">
        <f>F268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7" start="0" length="0">
      <dxf>
        <fill>
          <patternFill>
            <bgColor theme="0"/>
          </patternFill>
        </fill>
      </dxf>
    </rfmt>
    <rfmt sheetId="1" sqref="H267" start="0" length="0">
      <dxf>
        <fill>
          <patternFill>
            <bgColor theme="0"/>
          </patternFill>
        </fill>
      </dxf>
    </rfmt>
    <rfmt sheetId="1" sqref="I267" start="0" length="0">
      <dxf>
        <fill>
          <patternFill>
            <bgColor theme="0"/>
          </patternFill>
        </fill>
      </dxf>
    </rfmt>
    <rfmt sheetId="1" sqref="J267" start="0" length="0">
      <dxf>
        <fill>
          <patternFill>
            <bgColor theme="0"/>
          </patternFill>
        </fill>
      </dxf>
    </rfmt>
  </rrc>
  <rrc rId="6006" sId="1" ref="A267:XFD267" action="deleteRow">
    <rfmt sheetId="1" xfDxf="1" sqref="A267:XFD267" start="0" length="0">
      <dxf>
        <font>
          <i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267" t="inlineStr">
        <is>
          <t>Расходы на выплату персоналу государственных (муниципальных) органов</t>
        </is>
      </nc>
      <ndxf>
        <font>
          <i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67" t="inlineStr">
        <is>
          <t>06 2 00 80420</t>
        </is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67">
        <v>120</v>
      </nc>
      <ndxf>
        <font>
          <i val="0"/>
          <sz val="10"/>
          <color auto="1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67">
        <f>D268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7">
        <f>E268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7">
        <f>F268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7" start="0" length="0">
      <dxf>
        <fill>
          <patternFill>
            <bgColor theme="0"/>
          </patternFill>
        </fill>
      </dxf>
    </rfmt>
    <rfmt sheetId="1" sqref="H267" start="0" length="0">
      <dxf>
        <fill>
          <patternFill>
            <bgColor theme="0"/>
          </patternFill>
        </fill>
      </dxf>
    </rfmt>
    <rfmt sheetId="1" sqref="I267" start="0" length="0">
      <dxf>
        <fill>
          <patternFill>
            <bgColor theme="0"/>
          </patternFill>
        </fill>
      </dxf>
    </rfmt>
    <rfmt sheetId="1" sqref="J267" start="0" length="0">
      <dxf>
        <fill>
          <patternFill>
            <bgColor theme="0"/>
          </patternFill>
        </fill>
      </dxf>
    </rfmt>
  </rrc>
  <rrc rId="6007" sId="1" ref="A267:XFD267" action="deleteRow">
    <rfmt sheetId="1" xfDxf="1" sqref="A267:XFD267" start="0" length="0">
      <dxf>
        <font>
          <i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267" t="inlineStr">
        <is>
      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    </is>
      </nc>
      <ndxf>
        <font>
          <i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67" t="inlineStr">
        <is>
          <t>06 2 00 80420</t>
        </is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67">
        <v>123</v>
      </nc>
      <ndxf>
        <font>
          <i val="0"/>
          <sz val="10"/>
          <color auto="1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267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67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67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7" start="0" length="0">
      <dxf>
        <fill>
          <patternFill>
            <bgColor theme="0"/>
          </patternFill>
        </fill>
      </dxf>
    </rfmt>
    <rfmt sheetId="1" sqref="H267" start="0" length="0">
      <dxf>
        <fill>
          <patternFill>
            <bgColor theme="0"/>
          </patternFill>
        </fill>
      </dxf>
    </rfmt>
    <rfmt sheetId="1" sqref="I267" start="0" length="0">
      <dxf>
        <fill>
          <patternFill>
            <bgColor theme="0"/>
          </patternFill>
        </fill>
      </dxf>
    </rfmt>
    <rfmt sheetId="1" sqref="J267" start="0" length="0">
      <dxf>
        <fill>
          <patternFill>
            <bgColor theme="0"/>
          </patternFill>
        </fill>
      </dxf>
    </rfmt>
  </rrc>
  <rrc rId="6008" sId="1" ref="A270:XFD270" action="deleteRow">
    <undo index="1" exp="ref" v="1" dr="F270" r="F266" sId="1"/>
    <undo index="1" exp="ref" v="1" dr="E270" r="E266" sId="1"/>
    <undo index="1" exp="ref" v="1" dr="D270" r="D266" sId="1"/>
    <rfmt sheetId="1" xfDxf="1" sqref="A270:XFD270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270" t="inlineStr">
        <is>
          <t>Реализация мероприятий по содействию трудоустройству несовершеннолетних граждан на территории Архангельской области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0" t="inlineStr">
        <is>
          <t>06 2 00 S6910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270" start="0" length="0">
      <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270">
        <f>D275+D271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0">
        <f>E275+E271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0">
        <f>F275+F271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ill>
          <patternFill>
            <bgColor theme="0"/>
          </patternFill>
        </fill>
      </dxf>
    </rfmt>
    <rfmt sheetId="1" sqref="H270" start="0" length="0">
      <dxf>
        <fill>
          <patternFill>
            <bgColor theme="0"/>
          </patternFill>
        </fill>
      </dxf>
    </rfmt>
    <rfmt sheetId="1" sqref="I270" start="0" length="0">
      <dxf>
        <fill>
          <patternFill>
            <bgColor theme="0"/>
          </patternFill>
        </fill>
      </dxf>
    </rfmt>
    <rfmt sheetId="1" sqref="J270" start="0" length="0">
      <dxf>
        <fill>
          <patternFill>
            <bgColor theme="0"/>
          </patternFill>
        </fill>
      </dxf>
    </rfmt>
  </rrc>
  <rrc rId="6009" sId="1" ref="A270:XFD270" action="deleteRow">
    <rfmt sheetId="1" xfDxf="1" sqref="A270:XFD270" start="0" length="0">
      <dxf>
        <font>
          <name val="Times New Roman"/>
          <scheme val="none"/>
        </font>
        <fill>
          <patternFill patternType="solid">
            <bgColor theme="7" tint="0.39997558519241921"/>
          </patternFill>
        </fill>
        <alignment vertical="center" readingOrder="0"/>
      </dxf>
    </rfmt>
    <rcc rId="0" sId="1" dxf="1">
      <nc r="A270" t="inlineStr">
        <is>
  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0" t="inlineStr">
        <is>
          <t>06 2 00 S6910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0">
        <v>100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0">
        <f>D271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0">
        <f>E271+E272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0">
        <f>F271+F272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ill>
          <patternFill>
            <bgColor theme="0"/>
          </patternFill>
        </fill>
      </dxf>
    </rfmt>
    <rfmt sheetId="1" sqref="H270" start="0" length="0">
      <dxf>
        <fill>
          <patternFill>
            <bgColor theme="0"/>
          </patternFill>
        </fill>
      </dxf>
    </rfmt>
    <rfmt sheetId="1" sqref="I270" start="0" length="0">
      <dxf>
        <fill>
          <patternFill>
            <bgColor theme="0"/>
          </patternFill>
        </fill>
      </dxf>
    </rfmt>
    <rfmt sheetId="1" sqref="J270" start="0" length="0">
      <dxf>
        <fill>
          <patternFill>
            <bgColor theme="0"/>
          </patternFill>
        </fill>
      </dxf>
    </rfmt>
  </rrc>
  <rrc rId="6010" sId="1" ref="A270:XFD270" action="deleteRow">
    <rfmt sheetId="1" xfDxf="1" sqref="A270:XFD270" start="0" length="0">
      <dxf>
        <font>
          <name val="Times New Roman"/>
          <scheme val="none"/>
        </font>
        <fill>
          <patternFill patternType="solid">
            <bgColor theme="7" tint="0.39997558519241921"/>
          </patternFill>
        </fill>
        <alignment vertical="center" readingOrder="0"/>
      </dxf>
    </rfmt>
    <rcc rId="0" sId="1" dxf="1">
      <nc r="A270" t="inlineStr">
        <is>
          <t>Расходы на выплаты персоналу государственных (муниципальных) органов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0" t="inlineStr">
        <is>
          <t>06 2 00 S6910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0">
        <v>120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0">
        <f>D271+D272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0">
        <f>E271+E272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0">
        <f>F271+F272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ill>
          <patternFill>
            <bgColor theme="0"/>
          </patternFill>
        </fill>
      </dxf>
    </rfmt>
    <rfmt sheetId="1" sqref="H270" start="0" length="0">
      <dxf>
        <fill>
          <patternFill>
            <bgColor theme="0"/>
          </patternFill>
        </fill>
      </dxf>
    </rfmt>
    <rfmt sheetId="1" sqref="I270" start="0" length="0">
      <dxf>
        <fill>
          <patternFill>
            <bgColor theme="0"/>
          </patternFill>
        </fill>
      </dxf>
    </rfmt>
    <rfmt sheetId="1" sqref="J270" start="0" length="0">
      <dxf>
        <fill>
          <patternFill>
            <bgColor theme="0"/>
          </patternFill>
        </fill>
      </dxf>
    </rfmt>
  </rrc>
  <rrc rId="6011" sId="1" ref="A270:XFD270" action="deleteRow">
    <rfmt sheetId="1" xfDxf="1" sqref="A270:XFD270" start="0" length="0">
      <dxf>
        <font>
          <name val="Times New Roman"/>
          <scheme val="none"/>
        </font>
        <fill>
          <patternFill patternType="solid">
            <bgColor theme="7" tint="0.39997558519241921"/>
          </patternFill>
        </fill>
        <alignment vertical="center" readingOrder="0"/>
      </dxf>
    </rfmt>
    <rcc rId="0" sId="1" dxf="1">
      <nc r="A270" t="inlineStr">
        <is>
          <t>Фонд оплаты труда государственных (муниципальных) органов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0" t="inlineStr">
        <is>
          <t>06 2 00 S6910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0">
        <v>121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270">
        <v>0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70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70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ill>
          <patternFill>
            <bgColor theme="0"/>
          </patternFill>
        </fill>
      </dxf>
    </rfmt>
    <rfmt sheetId="1" sqref="H270" start="0" length="0">
      <dxf>
        <fill>
          <patternFill>
            <bgColor theme="0"/>
          </patternFill>
        </fill>
      </dxf>
    </rfmt>
    <rfmt sheetId="1" sqref="I270" start="0" length="0">
      <dxf>
        <fill>
          <patternFill>
            <bgColor theme="0"/>
          </patternFill>
        </fill>
      </dxf>
    </rfmt>
    <rfmt sheetId="1" sqref="J270" start="0" length="0">
      <dxf>
        <fill>
          <patternFill>
            <bgColor theme="0"/>
          </patternFill>
        </fill>
      </dxf>
    </rfmt>
  </rrc>
  <rrc rId="6012" sId="1" ref="A270:XFD270" action="deleteRow">
    <rfmt sheetId="1" xfDxf="1" sqref="A270:XFD270" start="0" length="0">
      <dxf>
        <font>
          <name val="Times New Roman"/>
          <scheme val="none"/>
        </font>
        <fill>
          <patternFill patternType="solid">
            <bgColor theme="7" tint="0.39997558519241921"/>
          </patternFill>
        </fill>
        <alignment vertical="center" readingOrder="0"/>
      </dxf>
    </rfmt>
    <rcc rId="0" sId="1" dxf="1">
      <nc r="A27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0" t="inlineStr">
        <is>
          <t>06 2 00 S6910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0">
        <v>129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270">
        <v>0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70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70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ill>
          <patternFill>
            <bgColor theme="0"/>
          </patternFill>
        </fill>
      </dxf>
    </rfmt>
    <rfmt sheetId="1" sqref="H270" start="0" length="0">
      <dxf>
        <fill>
          <patternFill>
            <bgColor theme="0"/>
          </patternFill>
        </fill>
      </dxf>
    </rfmt>
    <rfmt sheetId="1" sqref="I270" start="0" length="0">
      <dxf>
        <fill>
          <patternFill>
            <bgColor theme="0"/>
          </patternFill>
        </fill>
      </dxf>
    </rfmt>
    <rfmt sheetId="1" sqref="J270" start="0" length="0">
      <dxf>
        <fill>
          <patternFill>
            <bgColor theme="0"/>
          </patternFill>
        </fill>
      </dxf>
    </rfmt>
  </rrc>
  <rrc rId="6013" sId="1" ref="A270:XFD270" action="deleteRow">
    <rfmt sheetId="1" xfDxf="1" sqref="A270:XFD270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270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0" t="inlineStr">
        <is>
          <t>06 2 00 S6910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0">
        <v>600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0">
        <f>D271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0">
        <f>E271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0">
        <f>F271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ill>
          <patternFill>
            <bgColor theme="0"/>
          </patternFill>
        </fill>
      </dxf>
    </rfmt>
    <rfmt sheetId="1" sqref="H270" start="0" length="0">
      <dxf>
        <fill>
          <patternFill>
            <bgColor theme="0"/>
          </patternFill>
        </fill>
      </dxf>
    </rfmt>
    <rfmt sheetId="1" sqref="I270" start="0" length="0">
      <dxf>
        <fill>
          <patternFill>
            <bgColor theme="0"/>
          </patternFill>
        </fill>
      </dxf>
    </rfmt>
    <rfmt sheetId="1" sqref="J270" start="0" length="0">
      <dxf>
        <fill>
          <patternFill>
            <bgColor theme="0"/>
          </patternFill>
        </fill>
      </dxf>
    </rfmt>
  </rrc>
  <rrc rId="6014" sId="1" ref="A270:XFD270" action="deleteRow">
    <rfmt sheetId="1" xfDxf="1" sqref="A270:XFD270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270" t="inlineStr">
        <is>
          <t>Субсидии бюджетным учреждениям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0" t="inlineStr">
        <is>
          <t>06 2 00 S6910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0">
        <v>610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0">
        <f>D271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0">
        <f>E271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0">
        <f>F271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ill>
          <patternFill>
            <bgColor theme="0"/>
          </patternFill>
        </fill>
      </dxf>
    </rfmt>
    <rfmt sheetId="1" sqref="H270" start="0" length="0">
      <dxf>
        <fill>
          <patternFill>
            <bgColor theme="0"/>
          </patternFill>
        </fill>
      </dxf>
    </rfmt>
    <rfmt sheetId="1" sqref="I270" start="0" length="0">
      <dxf>
        <fill>
          <patternFill>
            <bgColor theme="0"/>
          </patternFill>
        </fill>
      </dxf>
    </rfmt>
    <rfmt sheetId="1" sqref="J270" start="0" length="0">
      <dxf>
        <fill>
          <patternFill>
            <bgColor theme="0"/>
          </patternFill>
        </fill>
      </dxf>
    </rfmt>
  </rrc>
  <rrc rId="6015" sId="1" ref="A270:XFD270" action="deleteRow">
    <rfmt sheetId="1" xfDxf="1" sqref="A270:XFD270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270" t="inlineStr">
        <is>
          <t>Субсидии бюджетным учреждениям на иные цели</t>
        </is>
      </nc>
      <ndxf>
        <fill>
          <patternFill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0" t="inlineStr">
        <is>
          <t>06 2 00 S6910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70">
        <v>612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270">
        <v>0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70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70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ill>
          <patternFill>
            <bgColor theme="0"/>
          </patternFill>
        </fill>
      </dxf>
    </rfmt>
    <rfmt sheetId="1" sqref="H270" start="0" length="0">
      <dxf>
        <fill>
          <patternFill>
            <bgColor theme="0"/>
          </patternFill>
        </fill>
      </dxf>
    </rfmt>
    <rfmt sheetId="1" sqref="I270" start="0" length="0">
      <dxf>
        <fill>
          <patternFill>
            <bgColor theme="0"/>
          </patternFill>
        </fill>
      </dxf>
    </rfmt>
    <rfmt sheetId="1" sqref="J270" start="0" length="0">
      <dxf>
        <fill>
          <patternFill>
            <bgColor theme="0"/>
          </patternFill>
        </fill>
      </dxf>
    </rfmt>
  </rrc>
  <rrc rId="6016" sId="1" ref="A262:XFD262" action="deleteRow">
    <undo index="1" exp="ref" v="1" dr="F262" r="F248" sId="1"/>
    <undo index="1" exp="ref" v="1" dr="E262" r="E248" sId="1"/>
    <undo index="1" exp="ref" v="1" dr="D262" r="D248" sId="1"/>
    <rfmt sheetId="1" xfDxf="1" sqref="A262:XFD262" start="0" length="0">
      <dxf>
        <font>
          <name val="Times New Roman"/>
          <scheme val="none"/>
        </font>
        <fill>
          <patternFill patternType="solid">
            <bgColor theme="8" tint="0.39997558519241921"/>
          </patternFill>
        </fill>
        <alignment vertical="center" readingOrder="0"/>
      </dxf>
    </rfmt>
    <rcc rId="0" sId="1" dxf="1">
      <nc r="A262" t="inlineStr">
        <is>
          <t xml:space="preserve">Обустройство и модернизация плоскостных спортивных соооружений </t>
        </is>
      </nc>
      <ndxf>
        <fill>
          <patternFill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62" t="inlineStr">
        <is>
          <t>06 1 00 S8080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262" start="0" length="0">
      <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262">
        <f>D263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2">
        <f>E263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2">
        <f>F263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2" start="0" length="0">
      <dxf>
        <fill>
          <patternFill>
            <bgColor theme="0"/>
          </patternFill>
        </fill>
      </dxf>
    </rfmt>
    <rfmt sheetId="1" sqref="H262" start="0" length="0">
      <dxf>
        <fill>
          <patternFill>
            <bgColor theme="0"/>
          </patternFill>
        </fill>
      </dxf>
    </rfmt>
    <rfmt sheetId="1" sqref="I262" start="0" length="0">
      <dxf>
        <fill>
          <patternFill>
            <bgColor theme="0"/>
          </patternFill>
        </fill>
      </dxf>
    </rfmt>
    <rfmt sheetId="1" sqref="J262" start="0" length="0">
      <dxf>
        <fill>
          <patternFill>
            <bgColor theme="0"/>
          </patternFill>
        </fill>
      </dxf>
    </rfmt>
  </rrc>
  <rrc rId="6017" sId="1" ref="A262:XFD262" action="deleteRow">
    <rfmt sheetId="1" xfDxf="1" sqref="A262:XFD262" start="0" length="0">
      <dxf>
        <font>
          <name val="Times New Roman"/>
          <scheme val="none"/>
        </font>
        <fill>
          <patternFill patternType="solid">
            <bgColor theme="8" tint="0.39997558519241921"/>
          </patternFill>
        </fill>
        <alignment vertical="center" readingOrder="0"/>
      </dxf>
    </rfmt>
    <rcc rId="0" sId="1" dxf="1">
      <nc r="A262" t="inlineStr">
        <is>
          <t>Закупка товаров, работ и услуг для обеспечения государственных (муниципальных) нужд</t>
        </is>
      </nc>
      <ndxf>
        <fill>
          <patternFill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62" t="inlineStr">
        <is>
          <t>06 1 00 S8080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62">
        <v>200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62">
        <f>D263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2">
        <f>E263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2">
        <f>F263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2" start="0" length="0">
      <dxf>
        <fill>
          <patternFill>
            <bgColor theme="0"/>
          </patternFill>
        </fill>
      </dxf>
    </rfmt>
    <rfmt sheetId="1" sqref="H262" start="0" length="0">
      <dxf>
        <fill>
          <patternFill>
            <bgColor theme="0"/>
          </patternFill>
        </fill>
      </dxf>
    </rfmt>
    <rfmt sheetId="1" sqref="I262" start="0" length="0">
      <dxf>
        <fill>
          <patternFill>
            <bgColor theme="0"/>
          </patternFill>
        </fill>
      </dxf>
    </rfmt>
    <rfmt sheetId="1" sqref="J262" start="0" length="0">
      <dxf>
        <fill>
          <patternFill>
            <bgColor theme="0"/>
          </patternFill>
        </fill>
      </dxf>
    </rfmt>
  </rrc>
  <rrc rId="6018" sId="1" ref="A262:XFD262" action="deleteRow">
    <rfmt sheetId="1" xfDxf="1" sqref="A262:XFD262" start="0" length="0">
      <dxf>
        <font>
          <name val="Times New Roman"/>
          <scheme val="none"/>
        </font>
        <fill>
          <patternFill patternType="solid">
            <bgColor theme="8" tint="0.39997558519241921"/>
          </patternFill>
        </fill>
        <alignment vertical="center" readingOrder="0"/>
      </dxf>
    </rfmt>
    <rcc rId="0" sId="1" dxf="1">
      <nc r="A262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62" t="inlineStr">
        <is>
          <t>06 1 00 S8080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62">
        <v>240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62">
        <f>D263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62">
        <f>E263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62">
        <f>F263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2" start="0" length="0">
      <dxf>
        <fill>
          <patternFill>
            <bgColor theme="0"/>
          </patternFill>
        </fill>
      </dxf>
    </rfmt>
    <rfmt sheetId="1" sqref="H262" start="0" length="0">
      <dxf>
        <fill>
          <patternFill>
            <bgColor theme="0"/>
          </patternFill>
        </fill>
      </dxf>
    </rfmt>
    <rfmt sheetId="1" sqref="I262" start="0" length="0">
      <dxf>
        <fill>
          <patternFill>
            <bgColor theme="0"/>
          </patternFill>
        </fill>
      </dxf>
    </rfmt>
    <rfmt sheetId="1" sqref="J262" start="0" length="0">
      <dxf>
        <fill>
          <patternFill>
            <bgColor theme="0"/>
          </patternFill>
        </fill>
      </dxf>
    </rfmt>
  </rrc>
  <rrc rId="6019" sId="1" ref="A262:XFD262" action="deleteRow">
    <rfmt sheetId="1" xfDxf="1" sqref="A262:XFD262" start="0" length="0">
      <dxf>
        <font>
          <name val="Times New Roman"/>
          <scheme val="none"/>
        </font>
        <fill>
          <patternFill patternType="solid">
            <bgColor theme="8" tint="0.39997558519241921"/>
          </patternFill>
        </fill>
        <alignment vertical="center" readingOrder="0"/>
      </dxf>
    </rfmt>
    <rcc rId="0" sId="1" dxf="1">
      <nc r="A262" t="inlineStr">
        <is>
          <t xml:space="preserve">Прочая закупка товаров, работ и услуг </t>
        </is>
      </nc>
      <ndxf>
        <fill>
          <patternFill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62" t="inlineStr">
        <is>
          <t>06 1 00 S8080</t>
        </is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262">
        <v>244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262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262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62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ill>
          <patternFill>
            <bgColor theme="0"/>
          </patternFill>
        </fill>
      </dxf>
    </rfmt>
    <rfmt sheetId="1" sqref="H262" start="0" length="0">
      <dxf>
        <fill>
          <patternFill>
            <bgColor theme="0"/>
          </patternFill>
        </fill>
      </dxf>
    </rfmt>
    <rfmt sheetId="1" sqref="I262" start="0" length="0">
      <dxf>
        <fill>
          <patternFill>
            <bgColor theme="0"/>
          </patternFill>
        </fill>
      </dxf>
    </rfmt>
    <rfmt sheetId="1" sqref="J262" start="0" length="0">
      <dxf>
        <fill>
          <patternFill>
            <bgColor theme="0"/>
          </patternFill>
        </fill>
      </dxf>
    </rfmt>
  </rrc>
  <rcc rId="6020" sId="1">
    <oc r="D248">
      <f>D249+#REF!</f>
    </oc>
    <nc r="D248">
      <f>D249</f>
    </nc>
  </rcc>
  <rcc rId="6021" sId="1">
    <oc r="E248">
      <f>E249+#REF!</f>
    </oc>
    <nc r="E248">
      <f>E249</f>
    </nc>
  </rcc>
  <rcc rId="6022" sId="1">
    <oc r="F248">
      <f>F249+#REF!</f>
    </oc>
    <nc r="F248">
      <f>F249</f>
    </nc>
  </rcc>
  <rrc rId="6023" sId="1" ref="A266:XFD268" action="insertRow"/>
  <rfmt sheetId="1" sqref="A266" start="0" length="0">
    <dxf>
      <alignment horizontal="justify" vertical="center" wrapText="0" readingOrder="0"/>
      <border outline="0">
        <bottom style="thin">
          <color indexed="64"/>
        </bottom>
      </border>
    </dxf>
  </rfmt>
  <rcc rId="6024" sId="1">
    <nc r="D266">
      <f>D267</f>
    </nc>
  </rcc>
  <rcc rId="6025" sId="1">
    <nc r="E266">
      <f>E267</f>
    </nc>
  </rcc>
  <rcc rId="6026" sId="1">
    <nc r="F266">
      <f>F267</f>
    </nc>
  </rcc>
  <rfmt sheetId="1" sqref="A267" start="0" length="0">
    <dxf>
      <alignment horizontal="justify" vertical="center" wrapText="0" readingOrder="0"/>
      <border outline="0">
        <bottom style="thin">
          <color indexed="64"/>
        </bottom>
      </border>
    </dxf>
  </rfmt>
  <rcc rId="6027" sId="1">
    <nc r="D267">
      <f>D268</f>
    </nc>
  </rcc>
  <rcc rId="6028" sId="1">
    <nc r="E267">
      <f>E268</f>
    </nc>
  </rcc>
  <rcc rId="6029" sId="1">
    <nc r="F267">
      <f>F268</f>
    </nc>
  </rcc>
  <rfmt sheetId="1" sqref="A268" start="0" length="0">
    <dxf>
      <border outline="0">
        <bottom style="thin">
          <color indexed="64"/>
        </bottom>
      </border>
    </dxf>
  </rfmt>
  <rrc rId="6030" sId="1" ref="A266:XFD266" action="insertRow"/>
  <rcc rId="6031" sId="1" odxf="1" dxf="1">
    <nc r="A266" t="inlineStr">
      <is>
        <t>Реализация мероприятий по содействию трудоустройству несовершеннолетних граждан на территории Архангельской области</t>
      </is>
    </nc>
    <odxf>
      <fill>
        <patternFill patternType="solid">
          <bgColor rgb="FFFFFF00"/>
        </patternFill>
      </fill>
      <alignment horizontal="general" vertical="top" wrapText="1" readingOrder="0"/>
    </odxf>
    <ndxf>
      <fill>
        <patternFill patternType="none">
          <bgColor indexed="65"/>
        </patternFill>
      </fill>
      <alignment horizontal="justify" vertical="center" wrapText="0" readingOrder="0"/>
    </ndxf>
  </rcc>
  <rcc rId="6032" sId="1" odxf="1" dxf="1">
    <nc r="A267" t="inlineStr">
      <is>
        <t>Предоставление субсидий бюджетным, автономным учреждениям и иным некоммерческим организациям</t>
      </is>
    </nc>
    <ndxf>
      <fill>
        <patternFill patternType="none">
          <bgColor indexed="65"/>
        </patternFill>
      </fill>
    </ndxf>
  </rcc>
  <rcc rId="6033" sId="1" odxf="1" dxf="1">
    <nc r="A268" t="inlineStr">
      <is>
        <t>Субсидии бюджетным учреждениям</t>
      </is>
    </nc>
    <ndxf>
      <fill>
        <patternFill patternType="none">
          <bgColor indexed="65"/>
        </patternFill>
      </fill>
    </ndxf>
  </rcc>
  <rcc rId="6034" sId="1" odxf="1" dxf="1">
    <nc r="A269" t="inlineStr">
      <is>
        <t>Субсидии бюджетным учреждениям на иные цели</t>
      </is>
    </nc>
    <ndxf>
      <fill>
        <patternFill patternType="none">
          <bgColor indexed="65"/>
        </patternFill>
      </fill>
      <alignment horizontal="justify" vertical="center" wrapText="0" readingOrder="0"/>
    </ndxf>
  </rcc>
  <rcc rId="6035" sId="1" odxf="1" s="1" dxf="1">
    <nc r="B266" t="inlineStr">
      <is>
        <t>06 2 00 S6910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solid">
          <fgColor indexed="64"/>
          <bgColor rgb="FFFFFF00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odxf>
    <ndxf>
      <numFmt numFmtId="0" formatCode="General"/>
      <fill>
        <patternFill patternType="none">
          <bgColor indexed="65"/>
        </patternFill>
      </fill>
      <border outline="0">
        <top style="thin">
          <color indexed="64"/>
        </top>
      </border>
    </ndxf>
  </rcc>
  <rfmt sheetId="1" s="1" sqref="C266" start="0" length="0">
    <dxf>
      <fill>
        <patternFill patternType="none">
          <bgColor indexed="65"/>
        </patternFill>
      </fill>
    </dxf>
  </rfmt>
  <rcc rId="6036" sId="1" odxf="1" s="1" dxf="1">
    <nc r="B267" t="inlineStr">
      <is>
        <t>06 2 00 S6910</t>
      </is>
    </nc>
    <ndxf>
      <numFmt numFmtId="0" formatCode="General"/>
      <fill>
        <patternFill patternType="none">
          <bgColor indexed="65"/>
        </patternFill>
      </fill>
      <border outline="0">
        <top style="thin">
          <color indexed="64"/>
        </top>
      </border>
    </ndxf>
  </rcc>
  <rcc rId="6037" sId="1" odxf="1" s="1" dxf="1">
    <nc r="C267">
      <v>600</v>
    </nc>
    <ndxf>
      <fill>
        <patternFill patternType="none">
          <bgColor indexed="65"/>
        </patternFill>
      </fill>
    </ndxf>
  </rcc>
  <rcc rId="6038" sId="1" odxf="1" s="1" dxf="1">
    <nc r="B268" t="inlineStr">
      <is>
        <t>06 2 00 S6910</t>
      </is>
    </nc>
    <ndxf>
      <numFmt numFmtId="0" formatCode="General"/>
      <fill>
        <patternFill patternType="none">
          <bgColor indexed="65"/>
        </patternFill>
      </fill>
      <border outline="0">
        <top style="thin">
          <color indexed="64"/>
        </top>
      </border>
    </ndxf>
  </rcc>
  <rcc rId="6039" sId="1" odxf="1" s="1" dxf="1">
    <nc r="C268">
      <v>610</v>
    </nc>
    <ndxf>
      <fill>
        <patternFill patternType="none">
          <bgColor indexed="65"/>
        </patternFill>
      </fill>
    </ndxf>
  </rcc>
  <rcc rId="6040" sId="1" odxf="1" s="1" dxf="1">
    <nc r="B269" t="inlineStr">
      <is>
        <t>06 2 00 S6910</t>
      </is>
    </nc>
    <ndxf>
      <numFmt numFmtId="0" formatCode="General"/>
      <fill>
        <patternFill patternType="none">
          <bgColor indexed="65"/>
        </patternFill>
      </fill>
      <border outline="0">
        <top style="thin">
          <color indexed="64"/>
        </top>
      </border>
    </ndxf>
  </rcc>
  <rcc rId="6041" sId="1" odxf="1" s="1" dxf="1">
    <nc r="C269">
      <v>612</v>
    </nc>
    <ndxf>
      <fill>
        <patternFill patternType="none">
          <bgColor indexed="65"/>
        </patternFill>
      </fill>
    </ndxf>
  </rcc>
  <rfmt sheetId="1" sqref="D269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E269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F269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cc rId="6042" sId="1" odxf="1" dxf="1" numFmtId="34">
    <nc r="D269">
      <v>171912.17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6043" sId="1" odxf="1" dxf="1" numFmtId="34">
    <nc r="E269">
      <v>171912.17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6044" sId="1" odxf="1" dxf="1" numFmtId="34">
    <nc r="F269">
      <v>171912.17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6045" sId="1">
    <nc r="D266">
      <f>D267</f>
    </nc>
  </rcc>
  <rcc rId="6046" sId="1">
    <nc r="E266">
      <f>E267</f>
    </nc>
  </rcc>
  <rcc rId="6047" sId="1">
    <nc r="F266">
      <f>F267</f>
    </nc>
  </rcc>
  <rcc rId="6048" sId="1">
    <oc r="D262">
      <f>D267+#REF!+#REF!+D270+#REF!+#REF!</f>
    </oc>
    <nc r="D262">
      <f>D263+D266</f>
    </nc>
  </rcc>
  <rcc rId="6049" sId="1">
    <oc r="E262">
      <f>E267+#REF!+#REF!+E270+#REF!+#REF!</f>
    </oc>
    <nc r="E262">
      <f>E263+E266</f>
    </nc>
  </rcc>
  <rcc rId="6050" sId="1">
    <oc r="F262">
      <f>F267+#REF!+#REF!+F270+#REF!+#REF!</f>
    </oc>
    <nc r="F262">
      <f>F263+F266</f>
    </nc>
  </rcc>
  <rfmt sheetId="1" sqref="A247:F269">
    <dxf>
      <fill>
        <patternFill patternType="none">
          <bgColor auto="1"/>
        </patternFill>
      </fill>
    </dxf>
  </rfmt>
  <rrc rId="6051" sId="1" ref="A271:XFD271" action="deleteRow">
    <undo index="0" exp="ref" v="1" dr="F271" r="F270" sId="1"/>
    <undo index="0" exp="ref" v="1" dr="E271" r="E270" sId="1"/>
    <undo index="0" exp="ref" v="1" dr="D271" r="D270" sId="1"/>
    <rfmt sheetId="1" xfDxf="1" sqref="A271:XFD271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271" t="inlineStr">
        <is>
          <t>Реализация мероприятий по социально-экономическому развитию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="1" sqref="C271" start="0" length="0">
      <dxf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271">
        <f>D272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1">
        <f>E272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1">
        <f>F272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1" start="0" length="0">
      <dxf>
        <fill>
          <patternFill patternType="solid">
            <bgColor theme="0"/>
          </patternFill>
        </fill>
      </dxf>
    </rfmt>
    <rfmt sheetId="1" sqref="H271" start="0" length="0">
      <dxf>
        <fill>
          <patternFill patternType="solid">
            <bgColor theme="0"/>
          </patternFill>
        </fill>
      </dxf>
    </rfmt>
    <rfmt sheetId="1" sqref="I271" start="0" length="0">
      <dxf>
        <fill>
          <patternFill patternType="solid">
            <bgColor theme="0"/>
          </patternFill>
        </fill>
      </dxf>
    </rfmt>
    <rfmt sheetId="1" sqref="J271" start="0" length="0">
      <dxf>
        <fill>
          <patternFill patternType="solid">
            <bgColor theme="0"/>
          </patternFill>
        </fill>
      </dxf>
    </rfmt>
  </rrc>
  <rrc rId="6052" sId="1" ref="A271:XFD271" action="deleteRow">
    <rfmt sheetId="1" xfDxf="1" sqref="A271:XFD271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271" t="inlineStr">
        <is>
          <t>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71" t="inlineStr">
        <is>
          <t>07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200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1">
        <f>D272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1">
        <f>E272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1">
        <f>F272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1" start="0" length="0">
      <dxf>
        <fill>
          <patternFill patternType="solid">
            <bgColor theme="0"/>
          </patternFill>
        </fill>
      </dxf>
    </rfmt>
    <rfmt sheetId="1" sqref="H271" start="0" length="0">
      <dxf>
        <fill>
          <patternFill patternType="solid">
            <bgColor theme="0"/>
          </patternFill>
        </fill>
      </dxf>
    </rfmt>
    <rfmt sheetId="1" sqref="I271" start="0" length="0">
      <dxf>
        <fill>
          <patternFill patternType="solid">
            <bgColor theme="0"/>
          </patternFill>
        </fill>
      </dxf>
    </rfmt>
    <rfmt sheetId="1" sqref="J271" start="0" length="0">
      <dxf>
        <fill>
          <patternFill patternType="solid">
            <bgColor theme="0"/>
          </patternFill>
        </fill>
      </dxf>
    </rfmt>
  </rrc>
  <rrc rId="6053" sId="1" ref="A271:XFD271" action="deleteRow">
    <rfmt sheetId="1" xfDxf="1" sqref="A271:XFD271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271" t="inlineStr">
        <is>
          <t>Иные закупки товаров,работ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71" t="inlineStr">
        <is>
          <t>07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240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1">
        <f>D272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1">
        <f>E272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1">
        <f>F272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1" start="0" length="0">
      <dxf>
        <fill>
          <patternFill patternType="solid">
            <bgColor theme="0"/>
          </patternFill>
        </fill>
      </dxf>
    </rfmt>
    <rfmt sheetId="1" sqref="H271" start="0" length="0">
      <dxf>
        <fill>
          <patternFill patternType="solid">
            <bgColor theme="0"/>
          </patternFill>
        </fill>
      </dxf>
    </rfmt>
    <rfmt sheetId="1" sqref="I271" start="0" length="0">
      <dxf>
        <fill>
          <patternFill patternType="solid">
            <bgColor theme="0"/>
          </patternFill>
        </fill>
      </dxf>
    </rfmt>
    <rfmt sheetId="1" sqref="J271" start="0" length="0">
      <dxf>
        <fill>
          <patternFill patternType="solid">
            <bgColor theme="0"/>
          </patternFill>
        </fill>
      </dxf>
    </rfmt>
  </rrc>
  <rrc rId="6054" sId="1" ref="A271:XFD271" action="deleteRow">
    <rfmt sheetId="1" xfDxf="1" sqref="A271:XFD271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271" t="inlineStr">
        <is>
          <t xml:space="preserve">Прочая закупка товаров, работ и услуг 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71" t="inlineStr">
        <is>
          <t>07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244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1">
        <f>5000000+344484+87070.87+2381236.58+965247+749950-4527988.45-472011.55-1742.72+346639.75+127114.52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271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271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1" start="0" length="0">
      <dxf>
        <fill>
          <patternFill patternType="solid">
            <bgColor theme="0"/>
          </patternFill>
        </fill>
      </dxf>
    </rfmt>
    <rfmt sheetId="1" sqref="H271" start="0" length="0">
      <dxf>
        <fill>
          <patternFill patternType="solid">
            <bgColor theme="0"/>
          </patternFill>
        </fill>
      </dxf>
    </rfmt>
    <rfmt sheetId="1" sqref="I271" start="0" length="0">
      <dxf>
        <fill>
          <patternFill patternType="solid">
            <bgColor theme="0"/>
          </patternFill>
        </fill>
      </dxf>
    </rfmt>
    <rfmt sheetId="1" sqref="J271" start="0" length="0">
      <dxf>
        <fill>
          <patternFill patternType="solid">
            <bgColor theme="0"/>
          </patternFill>
        </fill>
      </dxf>
    </rfmt>
  </rrc>
  <rcc rId="6055" sId="1" odxf="1" dxf="1" numFmtId="34">
    <oc r="E276">
      <v>3297313.48</v>
    </oc>
    <nc r="E276">
      <v>0</v>
    </nc>
    <odxf>
      <alignment horizontal="general" readingOrder="0"/>
    </odxf>
    <ndxf>
      <alignment horizontal="right" readingOrder="0"/>
    </ndxf>
  </rcc>
  <rcc rId="6056" sId="1" odxf="1" dxf="1" numFmtId="34">
    <oc r="F276">
      <v>3297313.48</v>
    </oc>
    <nc r="F276">
      <v>0</v>
    </nc>
    <odxf>
      <alignment horizontal="general" readingOrder="0"/>
    </odxf>
    <ndxf>
      <alignment horizontal="right" readingOrder="0"/>
    </ndxf>
  </rcc>
  <rrc rId="6057" sId="1" ref="A275:XFD275" action="deleteRow">
    <undo index="1" exp="ref" v="1" dr="F275" r="F271" sId="1"/>
    <undo index="1" exp="ref" v="1" dr="E275" r="E271" sId="1"/>
    <undo index="1" exp="ref" v="1" dr="D275" r="D271" sId="1"/>
    <rfmt sheetId="1" xfDxf="1" sqref="A275:XFD275" start="0" length="0">
      <dxf>
        <font>
          <name val="Times New Roman"/>
          <scheme val="none"/>
        </font>
        <alignment vertical="center" readingOrder="0"/>
      </dxf>
    </rfmt>
    <rcc rId="0" sId="1" dxf="1">
      <nc r="A275" t="inlineStr">
        <is>
          <t>Иные бюджетные ассигнования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275" t="inlineStr">
        <is>
          <t>07 0 00 S8420</t>
        </is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C275">
        <v>800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275">
        <f>D276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righ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5">
        <f>E276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5">
        <f>F276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5" start="0" length="0">
      <dxf>
        <fill>
          <patternFill patternType="solid">
            <bgColor theme="0"/>
          </patternFill>
        </fill>
      </dxf>
    </rfmt>
    <rfmt sheetId="1" sqref="H275" start="0" length="0">
      <dxf>
        <fill>
          <patternFill patternType="solid">
            <bgColor theme="0"/>
          </patternFill>
        </fill>
      </dxf>
    </rfmt>
    <rfmt sheetId="1" sqref="I275" start="0" length="0">
      <dxf>
        <fill>
          <patternFill patternType="solid">
            <bgColor theme="0"/>
          </patternFill>
        </fill>
      </dxf>
    </rfmt>
    <rfmt sheetId="1" sqref="J275" start="0" length="0">
      <dxf>
        <fill>
          <patternFill patternType="solid">
            <bgColor theme="0"/>
          </patternFill>
        </fill>
      </dxf>
    </rfmt>
  </rrc>
  <rrc rId="6058" sId="1" ref="A275:XFD275" action="deleteRow">
    <rfmt sheetId="1" xfDxf="1" sqref="A275:XFD275" start="0" length="0">
      <dxf>
        <font>
          <name val="Times New Roman"/>
          <scheme val="none"/>
        </font>
        <alignment vertical="center" readingOrder="0"/>
      </dxf>
    </rfmt>
    <rcc rId="0" sId="1" dxf="1">
      <nc r="A275" t="inlineStr">
        <is>
          <t>Резервные средства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275" t="inlineStr">
        <is>
          <t>07 0 00 S8420</t>
        </is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C275" t="inlineStr">
        <is>
          <t>870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27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righ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27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righ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27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right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5" start="0" length="0">
      <dxf>
        <fill>
          <patternFill patternType="solid">
            <bgColor theme="0"/>
          </patternFill>
        </fill>
      </dxf>
    </rfmt>
    <rfmt sheetId="1" sqref="H275" start="0" length="0">
      <dxf>
        <fill>
          <patternFill patternType="solid">
            <bgColor theme="0"/>
          </patternFill>
        </fill>
      </dxf>
    </rfmt>
    <rfmt sheetId="1" sqref="I275" start="0" length="0">
      <dxf>
        <fill>
          <patternFill patternType="solid">
            <bgColor theme="0"/>
          </patternFill>
        </fill>
      </dxf>
    </rfmt>
    <rfmt sheetId="1" sqref="J275" start="0" length="0">
      <dxf>
        <fill>
          <patternFill patternType="solid">
            <bgColor theme="0"/>
          </patternFill>
        </fill>
      </dxf>
    </rfmt>
  </rrc>
  <rcc rId="6059" sId="1" numFmtId="34">
    <oc r="D274">
      <f>2487459+857288.8+160962.36-149988.8</f>
    </oc>
    <nc r="D274">
      <v>0</v>
    </nc>
  </rcc>
  <rcc rId="6060" sId="1">
    <oc r="D271">
      <f>D272+#REF!</f>
    </oc>
    <nc r="D271">
      <f>D272</f>
    </nc>
  </rcc>
  <rcc rId="6061" sId="1">
    <oc r="E271">
      <f>E272+#REF!</f>
    </oc>
    <nc r="E271">
      <f>E272</f>
    </nc>
  </rcc>
  <rcc rId="6062" sId="1">
    <oc r="F271">
      <f>F272+#REF!</f>
    </oc>
    <nc r="F271">
      <f>F272</f>
    </nc>
  </rcc>
  <rcc rId="6063" sId="1">
    <oc r="D270">
      <f>#REF!+D271</f>
    </oc>
    <nc r="D270">
      <f>D271</f>
    </nc>
  </rcc>
  <rcc rId="6064" sId="1">
    <oc r="E270">
      <f>#REF!+E271</f>
    </oc>
    <nc r="E270">
      <f>E271</f>
    </nc>
  </rcc>
  <rcc rId="6065" sId="1">
    <oc r="F270">
      <f>#REF!+F271</f>
    </oc>
    <nc r="F270">
      <f>F271</f>
    </nc>
  </rcc>
  <rfmt sheetId="1" sqref="A270:XFD274">
    <dxf>
      <fill>
        <patternFill patternType="none">
          <bgColor auto="1"/>
        </patternFill>
      </fill>
    </dxf>
  </rfmt>
  <rcc rId="6066" sId="1" numFmtId="34">
    <oc r="D279">
      <v>18218340.75</v>
    </oc>
    <nc r="D279">
      <v>0</v>
    </nc>
  </rcc>
  <rrc rId="6067" sId="1" ref="A276:XFD276" action="deleteRow">
    <undo index="0" exp="ref" v="1" dr="F276" r="F275" sId="1"/>
    <undo index="0" exp="ref" v="1" dr="E276" r="E275" sId="1"/>
    <undo index="0" exp="ref" v="1" dr="D276" r="D275" sId="1"/>
    <rfmt sheetId="1" xfDxf="1" sqref="A276:XFD276" start="0" length="0">
      <dxf>
        <font>
          <name val="Times New Roman"/>
          <scheme val="none"/>
        </font>
      </dxf>
    </rfmt>
    <rcc rId="0" sId="1" dxf="1">
      <nc r="A276" t="inlineStr">
        <is>
          <t>Организация транспортного обслуживания населения на пассажирских муниципальных маршрутах автомобильного транспорта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6" t="inlineStr">
        <is>
          <t>08 0 00 S6360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6" start="0" length="0">
      <dxf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276">
        <f>D277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76" start="0" length="0">
      <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76" start="0" length="0">
      <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6" start="0" length="0">
      <dxf>
        <fill>
          <patternFill patternType="solid">
            <bgColor theme="0"/>
          </patternFill>
        </fill>
      </dxf>
    </rfmt>
    <rfmt sheetId="1" sqref="H276" start="0" length="0">
      <dxf>
        <fill>
          <patternFill patternType="solid">
            <bgColor theme="0"/>
          </patternFill>
        </fill>
      </dxf>
    </rfmt>
    <rfmt sheetId="1" sqref="I276" start="0" length="0">
      <dxf>
        <fill>
          <patternFill patternType="solid">
            <bgColor theme="0"/>
          </patternFill>
        </fill>
      </dxf>
    </rfmt>
    <rfmt sheetId="1" sqref="J276" start="0" length="0">
      <dxf>
        <fill>
          <patternFill patternType="solid">
            <bgColor theme="0"/>
          </patternFill>
        </fill>
      </dxf>
    </rfmt>
  </rrc>
  <rrc rId="6068" sId="1" ref="A276:XFD276" action="deleteRow">
    <rfmt sheetId="1" xfDxf="1" sqref="A276:XFD276" start="0" length="0">
      <dxf>
        <font>
          <name val="Times New Roman"/>
          <scheme val="none"/>
        </font>
      </dxf>
    </rfmt>
    <rcc rId="0" sId="1" dxf="1">
      <nc r="A276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76" t="inlineStr">
        <is>
          <t>08 0 00 S6360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quotePrefix="1">
      <nc r="C276" t="inlineStr">
        <is>
          <t>200</t>
        </is>
      </nc>
      <ndxf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6">
        <f>D277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76" start="0" length="0">
      <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76" start="0" length="0">
      <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6" start="0" length="0">
      <dxf>
        <fill>
          <patternFill patternType="solid">
            <bgColor theme="0"/>
          </patternFill>
        </fill>
      </dxf>
    </rfmt>
    <rfmt sheetId="1" sqref="H276" start="0" length="0">
      <dxf>
        <fill>
          <patternFill patternType="solid">
            <bgColor theme="0"/>
          </patternFill>
        </fill>
      </dxf>
    </rfmt>
    <rfmt sheetId="1" sqref="I276" start="0" length="0">
      <dxf>
        <fill>
          <patternFill patternType="solid">
            <bgColor theme="0"/>
          </patternFill>
        </fill>
      </dxf>
    </rfmt>
    <rfmt sheetId="1" sqref="J276" start="0" length="0">
      <dxf>
        <fill>
          <patternFill patternType="solid">
            <bgColor theme="0"/>
          </patternFill>
        </fill>
      </dxf>
    </rfmt>
  </rrc>
  <rrc rId="6069" sId="1" ref="A276:XFD276" action="deleteRow">
    <rfmt sheetId="1" xfDxf="1" sqref="A276:XFD276" start="0" length="0">
      <dxf>
        <font>
          <name val="Times New Roman"/>
          <scheme val="none"/>
        </font>
      </dxf>
    </rfmt>
    <rcc rId="0" sId="1" dxf="1">
      <nc r="A276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76" t="inlineStr">
        <is>
          <t>08 0 00 S6360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quotePrefix="1">
      <nc r="C276" t="inlineStr">
        <is>
          <t>240</t>
        </is>
      </nc>
      <ndxf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6">
        <f>D277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76" start="0" length="0">
      <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76" start="0" length="0">
      <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6" start="0" length="0">
      <dxf>
        <fill>
          <patternFill patternType="solid">
            <bgColor theme="0"/>
          </patternFill>
        </fill>
      </dxf>
    </rfmt>
    <rfmt sheetId="1" sqref="H276" start="0" length="0">
      <dxf>
        <fill>
          <patternFill patternType="solid">
            <bgColor theme="0"/>
          </patternFill>
        </fill>
      </dxf>
    </rfmt>
    <rfmt sheetId="1" sqref="I276" start="0" length="0">
      <dxf>
        <fill>
          <patternFill patternType="solid">
            <bgColor theme="0"/>
          </patternFill>
        </fill>
      </dxf>
    </rfmt>
    <rfmt sheetId="1" sqref="J276" start="0" length="0">
      <dxf>
        <fill>
          <patternFill patternType="solid">
            <bgColor theme="0"/>
          </patternFill>
        </fill>
      </dxf>
    </rfmt>
  </rrc>
  <rrc rId="6070" sId="1" ref="A276:XFD276" action="deleteRow">
    <rfmt sheetId="1" xfDxf="1" sqref="A276:XFD276" start="0" length="0">
      <dxf>
        <font>
          <name val="Times New Roman"/>
          <scheme val="none"/>
        </font>
      </dxf>
    </rfmt>
    <rcc rId="0" sId="1" dxf="1">
      <nc r="A276" t="inlineStr">
        <is>
          <t xml:space="preserve">Прочая закупка товаров, работ и услуг 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76" t="inlineStr">
        <is>
          <t>08 0 00 S6360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quotePrefix="1">
      <nc r="C276" t="inlineStr">
        <is>
          <t>244</t>
        </is>
      </nc>
      <ndxf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276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276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276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6" start="0" length="0">
      <dxf>
        <fill>
          <patternFill patternType="solid">
            <bgColor theme="0"/>
          </patternFill>
        </fill>
      </dxf>
    </rfmt>
    <rfmt sheetId="1" sqref="H276" start="0" length="0">
      <dxf>
        <fill>
          <patternFill patternType="solid">
            <bgColor theme="0"/>
          </patternFill>
        </fill>
      </dxf>
    </rfmt>
    <rfmt sheetId="1" sqref="I276" start="0" length="0">
      <dxf>
        <fill>
          <patternFill patternType="solid">
            <bgColor theme="0"/>
          </patternFill>
        </fill>
      </dxf>
    </rfmt>
    <rfmt sheetId="1" sqref="J276" start="0" length="0">
      <dxf>
        <fill>
          <patternFill patternType="solid">
            <bgColor theme="0"/>
          </patternFill>
        </fill>
      </dxf>
    </rfmt>
  </rrc>
  <rrc rId="6071" sId="1" ref="A276:XFD276" action="deleteRow">
    <undo index="7" exp="ref" v="1" dr="F276" r="F275" sId="1"/>
    <undo index="7" exp="ref" v="1" dr="E276" r="E275" sId="1"/>
    <undo index="7" exp="ref" v="1" dr="D276" r="D275" sId="1"/>
    <rfmt sheetId="1" xfDxf="1" sqref="A276:XFD276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cc rId="0" sId="1" dxf="1">
      <nc r="A276" t="inlineStr">
        <is>
          <t>Мероприятия в сфере общественного пассажирского транспорта и транспортной инфраструктуры (содержание и ремонт железнодорожного пути технологической узкоколейной железной дороги "Липаково-Лужма-Сеза")</t>
        </is>
      </nc>
      <ndxf>
        <fill>
          <patternFill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76" t="inlineStr">
        <is>
          <t>08 0 00 S9170</t>
        </is>
      </nc>
      <ndxf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C276" start="0" length="0">
      <dxf>
        <numFmt numFmtId="30" formatCode="@"/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276">
        <f>D277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6">
        <f>E277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6">
        <f>F277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6" start="0" length="0">
      <dxf>
        <fill>
          <patternFill>
            <bgColor theme="0"/>
          </patternFill>
        </fill>
      </dxf>
    </rfmt>
    <rfmt sheetId="1" sqref="H276" start="0" length="0">
      <dxf>
        <fill>
          <patternFill>
            <bgColor theme="0"/>
          </patternFill>
        </fill>
      </dxf>
    </rfmt>
    <rfmt sheetId="1" sqref="I276" start="0" length="0">
      <dxf>
        <fill>
          <patternFill>
            <bgColor theme="0"/>
          </patternFill>
        </fill>
      </dxf>
    </rfmt>
    <rfmt sheetId="1" sqref="J276" start="0" length="0">
      <dxf>
        <fill>
          <patternFill>
            <bgColor theme="0"/>
          </patternFill>
        </fill>
      </dxf>
    </rfmt>
  </rrc>
  <rrc rId="6072" sId="1" ref="A276:XFD276" action="deleteRow">
    <rfmt sheetId="1" xfDxf="1" sqref="A276:XFD276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cc rId="0" sId="1" dxf="1">
      <nc r="A276" t="inlineStr">
        <is>
          <t>Закупка товаров, работ и услуг для обеспечения государственных (муниципальных) нужд</t>
        </is>
      </nc>
      <ndxf>
        <fill>
          <patternFill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76" t="inlineStr">
        <is>
          <t>08 0 00 S9170</t>
        </is>
      </nc>
      <ndxf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 quotePrefix="1">
      <nc r="C276" t="inlineStr">
        <is>
          <t>200</t>
        </is>
      </nc>
      <ndxf>
        <numFmt numFmtId="30" formatCode="@"/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6">
        <f>D277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6">
        <f>E277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6">
        <f>F277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6" start="0" length="0">
      <dxf>
        <fill>
          <patternFill>
            <bgColor theme="0"/>
          </patternFill>
        </fill>
      </dxf>
    </rfmt>
    <rfmt sheetId="1" sqref="H276" start="0" length="0">
      <dxf>
        <fill>
          <patternFill>
            <bgColor theme="0"/>
          </patternFill>
        </fill>
      </dxf>
    </rfmt>
    <rfmt sheetId="1" sqref="I276" start="0" length="0">
      <dxf>
        <fill>
          <patternFill>
            <bgColor theme="0"/>
          </patternFill>
        </fill>
      </dxf>
    </rfmt>
    <rfmt sheetId="1" sqref="J276" start="0" length="0">
      <dxf>
        <fill>
          <patternFill>
            <bgColor theme="0"/>
          </patternFill>
        </fill>
      </dxf>
    </rfmt>
  </rrc>
  <rrc rId="6073" sId="1" ref="A276:XFD276" action="deleteRow">
    <rfmt sheetId="1" xfDxf="1" sqref="A276:XFD276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cc rId="0" sId="1" dxf="1">
      <nc r="A276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76" t="inlineStr">
        <is>
          <t>08 0 00 S9170</t>
        </is>
      </nc>
      <ndxf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 quotePrefix="1">
      <nc r="C276" t="inlineStr">
        <is>
          <t>240</t>
        </is>
      </nc>
      <ndxf>
        <numFmt numFmtId="30" formatCode="@"/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6">
        <f>D277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76">
        <f>E277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76">
        <f>F277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6" start="0" length="0">
      <dxf>
        <fill>
          <patternFill>
            <bgColor theme="0"/>
          </patternFill>
        </fill>
      </dxf>
    </rfmt>
    <rfmt sheetId="1" sqref="H276" start="0" length="0">
      <dxf>
        <fill>
          <patternFill>
            <bgColor theme="0"/>
          </patternFill>
        </fill>
      </dxf>
    </rfmt>
    <rfmt sheetId="1" sqref="I276" start="0" length="0">
      <dxf>
        <fill>
          <patternFill>
            <bgColor theme="0"/>
          </patternFill>
        </fill>
      </dxf>
    </rfmt>
    <rfmt sheetId="1" sqref="J276" start="0" length="0">
      <dxf>
        <fill>
          <patternFill>
            <bgColor theme="0"/>
          </patternFill>
        </fill>
      </dxf>
    </rfmt>
  </rrc>
  <rrc rId="6074" sId="1" ref="A276:XFD276" action="deleteRow">
    <rfmt sheetId="1" xfDxf="1" sqref="A276:XFD276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cc rId="0" sId="1" dxf="1">
      <nc r="A276" t="inlineStr">
        <is>
          <t xml:space="preserve">Прочая закупка товаров, работ и услуг </t>
        </is>
      </nc>
      <ndxf>
        <fill>
          <patternFill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76" t="inlineStr">
        <is>
          <t>08 0 00 S9170</t>
        </is>
      </nc>
      <ndxf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 quotePrefix="1">
      <nc r="C276" t="inlineStr">
        <is>
          <t>244</t>
        </is>
      </nc>
      <ndxf>
        <numFmt numFmtId="30" formatCode="@"/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76">
        <f>3591627.58+3595.22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276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76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6" start="0" length="0">
      <dxf>
        <fill>
          <patternFill>
            <bgColor theme="0"/>
          </patternFill>
        </fill>
      </dxf>
    </rfmt>
    <rfmt sheetId="1" sqref="H276" start="0" length="0">
      <dxf>
        <fill>
          <patternFill>
            <bgColor theme="0"/>
          </patternFill>
        </fill>
      </dxf>
    </rfmt>
    <rfmt sheetId="1" sqref="I276" start="0" length="0">
      <dxf>
        <fill>
          <patternFill>
            <bgColor theme="0"/>
          </patternFill>
        </fill>
      </dxf>
    </rfmt>
    <rfmt sheetId="1" sqref="J276" start="0" length="0">
      <dxf>
        <fill>
          <patternFill>
            <bgColor theme="0"/>
          </patternFill>
        </fill>
      </dxf>
    </rfmt>
  </rrc>
  <rcc rId="6075" sId="1" numFmtId="34">
    <oc r="D279">
      <f>1252060.86-285902.58</f>
    </oc>
    <nc r="D279">
      <v>1252060.8600000001</v>
    </nc>
  </rcc>
  <rfmt sheetId="1" sqref="A279:F279">
    <dxf>
      <fill>
        <patternFill patternType="none">
          <bgColor auto="1"/>
        </patternFill>
      </fill>
    </dxf>
  </rfmt>
  <rcc rId="6076" sId="1">
    <oc r="D280">
      <f>1942940.95-3595.22-653107.36</f>
    </oc>
    <nc r="D280">
      <f>'\\Feu02\ФЭУ\ПРОЕКТ БЮДЖЕТА ОКРУГА НА 2025-2027 ГОД\[Копия 1.3. Приложение №3,4 ведомственная 2025-2027.xlsx]прил.№ 4'!$G$533+'\\Feu02\ФЭУ\ПРОЕКТ БЮДЖЕТА ОКРУГА НА 2025-2027 ГОД\[Копия 1.3. Приложение №3,4 ведомственная 2025-2027.xlsx]прил.№ 4'!$G$853</f>
    </nc>
  </rcc>
  <rcc rId="6077" sId="1" numFmtId="34">
    <oc r="E280">
      <v>1253986.27</v>
    </oc>
    <nc r="E280">
      <f>'\\Feu02\ФЭУ\ПРОЕКТ БЮДЖЕТА ОКРУГА НА 2025-2027 ГОД\[Копия 1.3. Приложение №3,4 ведомственная 2025-2027.xlsx]прил.№ 4'!$G$533+'\\Feu02\ФЭУ\ПРОЕКТ БЮДЖЕТА ОКРУГА НА 2025-2027 ГОД\[Копия 1.3. Приложение №3,4 ведомственная 2025-2027.xlsx]прил.№ 4'!$G$853</f>
    </nc>
  </rcc>
  <rcc rId="6078" sId="1" numFmtId="34">
    <oc r="F280">
      <v>1253986.8</v>
    </oc>
    <nc r="F280">
      <f>'\\Feu02\ФЭУ\ПРОЕКТ БЮДЖЕТА ОКРУГА НА 2025-2027 ГОД\[Копия 1.3. Приложение №3,4 ведомственная 2025-2027.xlsx]прил.№ 4'!$G$533+'\\Feu02\ФЭУ\ПРОЕКТ БЮДЖЕТА ОКРУГА НА 2025-2027 ГОД\[Копия 1.3. Приложение №3,4 ведомственная 2025-2027.xlsx]прил.№ 4'!$G$853</f>
    </nc>
  </rcc>
  <rcc rId="6079" sId="1" numFmtId="34">
    <oc r="D280">
      <f>'\\Feu02\ФЭУ\ПРОЕКТ БЮДЖЕТА ОКРУГА НА 2025-2027 ГОД\[Копия 1.3. Приложение №3,4 ведомственная 2025-2027.xlsx]прил.№ 4'!$G$533+'\\Feu02\ФЭУ\ПРОЕКТ БЮДЖЕТА ОКРУГА НА 2025-2027 ГОД\[Копия 1.3. Приложение №3,4 ведомственная 2025-2027.xlsx]прил.№ 4'!$G$853</f>
    </oc>
    <nc r="D280">
      <v>5100316.8000000007</v>
    </nc>
  </rcc>
  <rcc rId="6080" sId="1" numFmtId="34">
    <oc r="E280">
      <f>'\\Feu02\ФЭУ\ПРОЕКТ БЮДЖЕТА ОКРУГА НА 2025-2027 ГОД\[Копия 1.3. Приложение №3,4 ведомственная 2025-2027.xlsx]прил.№ 4'!$G$533+'\\Feu02\ФЭУ\ПРОЕКТ БЮДЖЕТА ОКРУГА НА 2025-2027 ГОД\[Копия 1.3. Приложение №3,4 ведомственная 2025-2027.xlsx]прил.№ 4'!$G$853</f>
    </oc>
    <nc r="E280">
      <v>5100316.8000000007</v>
    </nc>
  </rcc>
  <rcc rId="6081" sId="1" numFmtId="34">
    <oc r="F280">
      <f>'\\Feu02\ФЭУ\ПРОЕКТ БЮДЖЕТА ОКРУГА НА 2025-2027 ГОД\[Копия 1.3. Приложение №3,4 ведомственная 2025-2027.xlsx]прил.№ 4'!$G$533+'\\Feu02\ФЭУ\ПРОЕКТ БЮДЖЕТА ОКРУГА НА 2025-2027 ГОД\[Копия 1.3. Приложение №3,4 ведомственная 2025-2027.xlsx]прил.№ 4'!$G$853</f>
    </oc>
    <nc r="F280">
      <v>5100316.8000000007</v>
    </nc>
  </rcc>
  <rcc rId="6082" sId="1" numFmtId="34">
    <oc r="D284">
      <v>4994404.75</v>
    </oc>
    <nc r="D284">
      <v>4949406.22</v>
    </nc>
  </rcc>
  <rcc rId="6083" sId="1" numFmtId="34">
    <oc r="E284">
      <v>0</v>
    </oc>
    <nc r="E284">
      <v>4949406.22</v>
    </nc>
  </rcc>
  <rcc rId="6084" sId="1" numFmtId="34">
    <oc r="F284">
      <v>0</v>
    </oc>
    <nc r="F284">
      <v>4949406.22</v>
    </nc>
  </rcc>
  <rcc rId="6085" sId="1" numFmtId="34">
    <oc r="D288">
      <v>93840</v>
    </oc>
    <nc r="D288">
      <v>0</v>
    </nc>
  </rcc>
  <rrc rId="6086" sId="1" ref="A285:XFD285" action="deleteRow">
    <undo index="5" exp="ref" v="1" dr="F285" r="F275" sId="1"/>
    <undo index="5" exp="ref" v="1" dr="E285" r="E275" sId="1"/>
    <undo index="5" exp="ref" v="1" dr="D285" r="D275" sId="1"/>
    <rfmt sheetId="1" xfDxf="1" sqref="A285:XFD285" start="0" length="0">
      <dxf>
        <font>
          <name val="Times New Roman"/>
          <scheme val="none"/>
        </font>
        <alignment vertical="center" readingOrder="0"/>
      </dxf>
    </rfmt>
    <rcc rId="0" sId="1" dxf="1">
      <nc r="A285" t="inlineStr">
        <is>
          <t>Возмещение индивидуальному предпринимателю  Заволожину Сергею Дмитриевичу фактически понесенных затрат на обеспечение бесплатного проезда в автомобильном транспорте общего пользования по городскому муниципальному маршруту гражданам, проживающим на территории Плесецкого муниципального округа и достигшим возраста 75 лет и старше, не относящимся к отдельным категориям граждан, установленным статьями 2 и 4 Федерального закона от 12.01.1995 № 5-ФЗ «О ветеранах» в 2024 году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5" t="inlineStr">
        <is>
          <t>08 0 00 83052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5" start="0" length="0">
      <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285">
        <f>D286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5">
        <f>E286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5">
        <f>F286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5" start="0" length="0">
      <dxf>
        <fill>
          <patternFill patternType="solid">
            <bgColor theme="0"/>
          </patternFill>
        </fill>
      </dxf>
    </rfmt>
    <rfmt sheetId="1" sqref="H285" start="0" length="0">
      <dxf>
        <fill>
          <patternFill patternType="solid">
            <bgColor theme="0"/>
          </patternFill>
        </fill>
      </dxf>
    </rfmt>
    <rfmt sheetId="1" sqref="I285" start="0" length="0">
      <dxf>
        <fill>
          <patternFill patternType="solid">
            <bgColor theme="0"/>
          </patternFill>
        </fill>
      </dxf>
    </rfmt>
    <rfmt sheetId="1" sqref="J285" start="0" length="0">
      <dxf>
        <fill>
          <patternFill patternType="solid">
            <bgColor theme="0"/>
          </patternFill>
        </fill>
      </dxf>
    </rfmt>
  </rrc>
  <rrc rId="6087" sId="1" ref="A285:XFD285" action="deleteRow">
    <rfmt sheetId="1" xfDxf="1" sqref="A285:XFD285" start="0" length="0">
      <dxf>
        <font>
          <name val="Times New Roman"/>
          <scheme val="none"/>
        </font>
        <alignment vertical="center" readingOrder="0"/>
      </dxf>
    </rfmt>
    <rcc rId="0" sId="1" dxf="1">
      <nc r="A285" t="inlineStr">
        <is>
          <t xml:space="preserve">Иные бюджетные ассигнования 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5" t="inlineStr">
        <is>
          <t>08 0 00 83052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5" t="inlineStr">
        <is>
          <t>800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85">
        <f>D286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5">
        <f>E286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5">
        <f>F286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5" start="0" length="0">
      <dxf>
        <fill>
          <patternFill patternType="solid">
            <bgColor theme="0"/>
          </patternFill>
        </fill>
      </dxf>
    </rfmt>
    <rfmt sheetId="1" sqref="H285" start="0" length="0">
      <dxf>
        <fill>
          <patternFill patternType="solid">
            <bgColor theme="0"/>
          </patternFill>
        </fill>
      </dxf>
    </rfmt>
    <rfmt sheetId="1" sqref="I285" start="0" length="0">
      <dxf>
        <fill>
          <patternFill patternType="solid">
            <bgColor theme="0"/>
          </patternFill>
        </fill>
      </dxf>
    </rfmt>
    <rfmt sheetId="1" sqref="J285" start="0" length="0">
      <dxf>
        <fill>
          <patternFill patternType="solid">
            <bgColor theme="0"/>
          </patternFill>
        </fill>
      </dxf>
    </rfmt>
  </rrc>
  <rrc rId="6088" sId="1" ref="A285:XFD285" action="deleteRow">
    <rfmt sheetId="1" xfDxf="1" sqref="A285:XFD285" start="0" length="0">
      <dxf>
        <font>
          <name val="Times New Roman"/>
          <scheme val="none"/>
        </font>
        <alignment vertical="center" readingOrder="0"/>
      </dxf>
    </rfmt>
    <rcc rId="0" sId="1" dxf="1">
      <nc r="A285" t="inlineStr">
        <is>
  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5" t="inlineStr">
        <is>
          <t>08 0 00 83052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5" t="inlineStr">
        <is>
          <t>810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85">
        <f>D286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5">
        <f>E286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5">
        <f>F286</f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5" start="0" length="0">
      <dxf>
        <fill>
          <patternFill patternType="solid">
            <bgColor theme="0"/>
          </patternFill>
        </fill>
      </dxf>
    </rfmt>
    <rfmt sheetId="1" sqref="H285" start="0" length="0">
      <dxf>
        <fill>
          <patternFill patternType="solid">
            <bgColor theme="0"/>
          </patternFill>
        </fill>
      </dxf>
    </rfmt>
    <rfmt sheetId="1" sqref="I285" start="0" length="0">
      <dxf>
        <fill>
          <patternFill patternType="solid">
            <bgColor theme="0"/>
          </patternFill>
        </fill>
      </dxf>
    </rfmt>
    <rfmt sheetId="1" sqref="J285" start="0" length="0">
      <dxf>
        <fill>
          <patternFill patternType="solid">
            <bgColor theme="0"/>
          </patternFill>
        </fill>
      </dxf>
    </rfmt>
  </rrc>
  <rrc rId="6089" sId="1" ref="A285:XFD285" action="deleteRow">
    <rfmt sheetId="1" xfDxf="1" sqref="A285:XFD285" start="0" length="0">
      <dxf>
        <font>
          <name val="Times New Roman"/>
          <scheme val="none"/>
        </font>
        <alignment vertical="center" readingOrder="0"/>
      </dxf>
    </rfmt>
    <rcc rId="0" sId="1" dxf="1">
      <nc r="A285" t="inlineStr">
        <is>
  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85" t="inlineStr">
        <is>
          <t>08 0 00 83052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5" t="inlineStr">
        <is>
          <t>811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285">
        <v>0</v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285">
        <v>0</v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285">
        <v>0</v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5" start="0" length="0">
      <dxf>
        <fill>
          <patternFill patternType="solid">
            <bgColor theme="0"/>
          </patternFill>
        </fill>
      </dxf>
    </rfmt>
    <rfmt sheetId="1" sqref="H285" start="0" length="0">
      <dxf>
        <fill>
          <patternFill patternType="solid">
            <bgColor theme="0"/>
          </patternFill>
        </fill>
      </dxf>
    </rfmt>
    <rfmt sheetId="1" sqref="I285" start="0" length="0">
      <dxf>
        <fill>
          <patternFill patternType="solid">
            <bgColor theme="0"/>
          </patternFill>
        </fill>
      </dxf>
    </rfmt>
    <rfmt sheetId="1" sqref="J285" start="0" length="0">
      <dxf>
        <fill>
          <patternFill patternType="solid">
            <bgColor theme="0"/>
          </patternFill>
        </fill>
      </dxf>
    </rfmt>
  </rrc>
  <rcc rId="6090" sId="1" numFmtId="34">
    <oc r="D288">
      <v>97305.96</v>
    </oc>
    <nc r="D288">
      <v>202389.84</v>
    </nc>
  </rcc>
  <rcc rId="6091" sId="1" numFmtId="34">
    <nc r="E288">
      <v>202389.84</v>
    </nc>
  </rcc>
  <rcc rId="6092" sId="1" numFmtId="34">
    <nc r="F288">
      <v>202389.84</v>
    </nc>
  </rcc>
  <rcc rId="6093" sId="1">
    <oc r="D275">
      <f>#REF!+D276+D281+#REF!+#REF!+D285</f>
    </oc>
    <nc r="D275">
      <f>D276+D281+D285</f>
    </nc>
  </rcc>
  <rcc rId="6094" sId="1">
    <oc r="E275">
      <f>#REF!+E276+E281+#REF!+#REF!+E285</f>
    </oc>
    <nc r="E275">
      <f>E276+E281+E285</f>
    </nc>
  </rcc>
  <rcc rId="6095" sId="1">
    <oc r="F275">
      <f>#REF!+F276+F281+#REF!+#REF!+F285</f>
    </oc>
    <nc r="F275">
      <f>F276+F281+F285</f>
    </nc>
  </rcc>
  <rfmt sheetId="1" sqref="A275:F289">
    <dxf>
      <fill>
        <patternFill patternType="none">
          <bgColor auto="1"/>
        </patternFill>
      </fill>
    </dxf>
  </rfmt>
  <rfmt sheetId="1" sqref="A290:F294">
    <dxf>
      <fill>
        <patternFill patternType="none">
          <bgColor auto="1"/>
        </patternFill>
      </fill>
    </dxf>
  </rfmt>
  <rcc rId="6096" sId="1" numFmtId="34">
    <oc r="D300">
      <v>2841747.36</v>
    </oc>
    <nc r="D300">
      <v>144000</v>
    </nc>
  </rcc>
  <rcc rId="6097" sId="1" numFmtId="34">
    <nc r="E300">
      <v>144000</v>
    </nc>
  </rcc>
  <rcc rId="6098" sId="1" numFmtId="34">
    <nc r="F300">
      <v>144000</v>
    </nc>
  </rcc>
  <rfmt sheetId="1" sqref="A295:F300">
    <dxf>
      <fill>
        <patternFill patternType="none">
          <bgColor auto="1"/>
        </patternFill>
      </fill>
    </dxf>
  </rfmt>
  <rcc rId="6099" sId="1" numFmtId="34">
    <oc r="D306">
      <f>45000+20100-20100</f>
    </oc>
    <nc r="D306">
      <v>30000</v>
    </nc>
  </rcc>
  <rcc rId="6100" sId="1" numFmtId="34">
    <oc r="E306">
      <v>45000</v>
    </oc>
    <nc r="E306">
      <v>30000</v>
    </nc>
  </rcc>
  <rcc rId="6101" sId="1" numFmtId="34">
    <oc r="F306">
      <v>45000</v>
    </oc>
    <nc r="F306">
      <v>30000</v>
    </nc>
  </rcc>
  <rfmt sheetId="1" sqref="A301:F306">
    <dxf>
      <fill>
        <patternFill patternType="none">
          <bgColor auto="1"/>
        </patternFill>
      </fill>
    </dxf>
  </rfmt>
  <rcc rId="6102" sId="1" numFmtId="34">
    <oc r="D312">
      <v>24376545.23</v>
    </oc>
    <nc r="D312">
      <v>22855309.129999999</v>
    </nc>
  </rcc>
  <rcc rId="6103" sId="1" numFmtId="34">
    <oc r="E312">
      <v>15756390.139999999</v>
    </oc>
    <nc r="E312">
      <v>16290779.119999999</v>
    </nc>
  </rcc>
  <rcc rId="6104" sId="1" numFmtId="34">
    <oc r="F312">
      <v>16290779.119999997</v>
    </oc>
    <nc r="F312">
      <v>16942410.289999999</v>
    </nc>
  </rcc>
  <rcc rId="6105" sId="1" numFmtId="34">
    <oc r="D313">
      <v>300755.99</v>
    </oc>
    <nc r="D313">
      <v>329253</v>
    </nc>
  </rcc>
  <rcc rId="6106" sId="1" numFmtId="34">
    <oc r="F313">
      <v>275755.99</v>
    </oc>
    <nc r="F313">
      <v>286786.23</v>
    </nc>
  </rcc>
  <rcc rId="6107" sId="1" numFmtId="34">
    <oc r="E321">
      <v>874944</v>
    </oc>
    <nc r="E321">
      <v>0</v>
    </nc>
  </rcc>
  <rcc rId="6108" sId="1" numFmtId="34">
    <oc r="F321">
      <v>874944</v>
    </oc>
    <nc r="F321">
      <v>0</v>
    </nc>
  </rcc>
  <rcc rId="6109" sId="1" numFmtId="34">
    <oc r="D325">
      <v>165914.20000000001</v>
    </oc>
    <nc r="D325">
      <v>16591.419999999998</v>
    </nc>
  </rcc>
  <rcc rId="6110" sId="1" numFmtId="34">
    <oc r="E325">
      <v>162108.17000000001</v>
    </oc>
    <nc r="E325">
      <v>16591.419999999998</v>
    </nc>
  </rcc>
  <rcc rId="6111" sId="1" numFmtId="34">
    <oc r="F325">
      <v>162108.17000000001</v>
    </oc>
    <nc r="F325">
      <v>17255.080000000002</v>
    </nc>
  </rcc>
  <rcc rId="6112" sId="1" numFmtId="34">
    <oc r="D317">
      <v>236759.26</v>
    </oc>
    <nc r="D317">
      <v>237059.9</v>
    </nc>
  </rcc>
  <rcc rId="6113" sId="1" numFmtId="34">
    <oc r="E317">
      <v>234666.55</v>
    </oc>
    <nc r="E317">
      <v>240453.5</v>
    </nc>
  </rcc>
  <rcc rId="6114" sId="1" numFmtId="34">
    <oc r="F317">
      <v>241402.04</v>
    </oc>
    <nc r="F317">
      <v>0</v>
    </nc>
  </rcc>
  <rrc rId="6115" sId="1" ref="A326:XFD326" action="deleteRow">
    <undo index="7" exp="ref" v="1" dr="F326" r="F308" sId="1"/>
    <undo index="7" exp="ref" v="1" dr="E326" r="E308" sId="1"/>
    <undo index="7" exp="ref" v="1" dr="D326" r="D308" sId="1"/>
    <rfmt sheetId="1" xfDxf="1" sqref="A326:XFD326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26" t="inlineStr">
        <is>
          <t>Реализация мероприятий по социально-экономическому развитию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26" t="inlineStr">
        <is>
          <t>12 1 00 Э8160</t>
        </is>
      </nc>
      <ndxf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326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26">
        <f>D327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6">
        <f>E327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6">
        <f>F327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ill>
          <patternFill>
            <bgColor theme="0"/>
          </patternFill>
        </fill>
      </dxf>
    </rfmt>
    <rfmt sheetId="1" sqref="H326" start="0" length="0">
      <dxf>
        <fill>
          <patternFill>
            <bgColor theme="0"/>
          </patternFill>
        </fill>
      </dxf>
    </rfmt>
    <rfmt sheetId="1" sqref="I326" start="0" length="0">
      <dxf>
        <fill>
          <patternFill>
            <bgColor theme="0"/>
          </patternFill>
        </fill>
      </dxf>
    </rfmt>
    <rfmt sheetId="1" sqref="J326" start="0" length="0">
      <dxf>
        <fill>
          <patternFill>
            <bgColor theme="0"/>
          </patternFill>
        </fill>
      </dxf>
    </rfmt>
  </rrc>
  <rrc rId="6116" sId="1" ref="A326:XFD326" action="deleteRow">
    <rfmt sheetId="1" xfDxf="1" sqref="A326:XFD326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26" t="inlineStr">
        <is>
          <t>Предоставление субсидий бюджетным, автономным учреждениям и иным некоммерческим организациям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26" t="inlineStr">
        <is>
          <t>12 1 00 Э8160</t>
        </is>
      </nc>
      <ndxf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326">
        <v>600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26">
        <f>D327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6">
        <f>E327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6">
        <f>F327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ill>
          <patternFill>
            <bgColor theme="0"/>
          </patternFill>
        </fill>
      </dxf>
    </rfmt>
    <rfmt sheetId="1" sqref="H326" start="0" length="0">
      <dxf>
        <fill>
          <patternFill>
            <bgColor theme="0"/>
          </patternFill>
        </fill>
      </dxf>
    </rfmt>
    <rfmt sheetId="1" sqref="I326" start="0" length="0">
      <dxf>
        <fill>
          <patternFill>
            <bgColor theme="0"/>
          </patternFill>
        </fill>
      </dxf>
    </rfmt>
    <rfmt sheetId="1" sqref="J326" start="0" length="0">
      <dxf>
        <fill>
          <patternFill>
            <bgColor theme="0"/>
          </patternFill>
        </fill>
      </dxf>
    </rfmt>
  </rrc>
  <rrc rId="6117" sId="1" ref="A326:XFD326" action="deleteRow">
    <rfmt sheetId="1" xfDxf="1" sqref="A326:XFD326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26" t="inlineStr">
        <is>
          <t>Субсидии бюджетным учреждениям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26" t="inlineStr">
        <is>
          <t>12 1 00 Э8160</t>
        </is>
      </nc>
      <ndxf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326">
        <v>610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26">
        <f>D327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6">
        <f>E327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6">
        <f>F327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ill>
          <patternFill>
            <bgColor theme="0"/>
          </patternFill>
        </fill>
      </dxf>
    </rfmt>
    <rfmt sheetId="1" sqref="H326" start="0" length="0">
      <dxf>
        <fill>
          <patternFill>
            <bgColor theme="0"/>
          </patternFill>
        </fill>
      </dxf>
    </rfmt>
    <rfmt sheetId="1" sqref="I326" start="0" length="0">
      <dxf>
        <fill>
          <patternFill>
            <bgColor theme="0"/>
          </patternFill>
        </fill>
      </dxf>
    </rfmt>
    <rfmt sheetId="1" sqref="J326" start="0" length="0">
      <dxf>
        <fill>
          <patternFill>
            <bgColor theme="0"/>
          </patternFill>
        </fill>
      </dxf>
    </rfmt>
  </rrc>
  <rrc rId="6118" sId="1" ref="A326:XFD326" action="deleteRow">
    <rfmt sheetId="1" xfDxf="1" sqref="A326:XFD326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26" t="inlineStr">
        <is>
          <t>Субсидии бюджетным учреждениям на  иные цели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26" t="inlineStr">
        <is>
          <t>12 1 00 Э8160</t>
        </is>
      </nc>
      <ndxf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326">
        <v>612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326">
        <v>1510000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326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26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ill>
          <patternFill>
            <bgColor theme="0"/>
          </patternFill>
        </fill>
      </dxf>
    </rfmt>
    <rfmt sheetId="1" sqref="H326" start="0" length="0">
      <dxf>
        <fill>
          <patternFill>
            <bgColor theme="0"/>
          </patternFill>
        </fill>
      </dxf>
    </rfmt>
    <rfmt sheetId="1" sqref="I326" start="0" length="0">
      <dxf>
        <fill>
          <patternFill>
            <bgColor theme="0"/>
          </patternFill>
        </fill>
      </dxf>
    </rfmt>
    <rfmt sheetId="1" sqref="J326" start="0" length="0">
      <dxf>
        <fill>
          <patternFill>
            <bgColor theme="0"/>
          </patternFill>
        </fill>
      </dxf>
    </rfmt>
  </rrc>
  <rcc rId="6119" sId="1">
    <oc r="D308">
      <f>D309+D318+D322+D314+#REF!</f>
    </oc>
    <nc r="D308">
      <f>D309+D318+D322+D314</f>
    </nc>
  </rcc>
  <rcc rId="6120" sId="1">
    <oc r="E308">
      <f>E309+E318+E322+E314+#REF!</f>
    </oc>
    <nc r="E308">
      <f>E309+E318+E322+E314</f>
    </nc>
  </rcc>
  <rcc rId="6121" sId="1">
    <oc r="F308">
      <f>F309+F318+F322+F314+#REF!</f>
    </oc>
    <nc r="F308">
      <f>F309+F318+F322+F314</f>
    </nc>
  </rcc>
  <rcc rId="6122" sId="1" numFmtId="34">
    <oc r="D330">
      <f>57584208.14+2000000</f>
    </oc>
    <nc r="D330">
      <v>60181348.469999999</v>
    </nc>
  </rcc>
  <rcc rId="6123" sId="1" numFmtId="34">
    <oc r="E330">
      <v>37211538.640000001</v>
    </oc>
    <nc r="E330">
      <v>38473593.969999999</v>
    </nc>
  </rcc>
  <rcc rId="6124" sId="1" numFmtId="34">
    <oc r="F330">
      <v>38473593.969999999</v>
    </oc>
    <nc r="F330">
      <v>40012537.729999997</v>
    </nc>
  </rcc>
  <rcc rId="6125" sId="1" numFmtId="34">
    <oc r="D331">
      <f>345925.05+1455320</f>
    </oc>
    <nc r="D331">
      <v>415161.41</v>
    </nc>
  </rcc>
  <rcc rId="6126" sId="1" numFmtId="34">
    <oc r="F331">
      <v>320925.05</v>
    </oc>
    <nc r="F331">
      <v>449038.59</v>
    </nc>
  </rcc>
  <rcc rId="6127" sId="1" numFmtId="34">
    <oc r="D335">
      <v>697842.1</v>
    </oc>
    <nc r="D335">
      <v>693362.4</v>
    </nc>
  </rcc>
  <rcc rId="6128" sId="1" numFmtId="34">
    <oc r="E335">
      <v>681596</v>
    </oc>
    <nc r="E335">
      <v>0</v>
    </nc>
  </rcc>
  <rcc rId="6129" sId="1" numFmtId="34">
    <oc r="F335">
      <v>681596</v>
    </oc>
    <nc r="F335">
      <v>0</v>
    </nc>
  </rcc>
  <rcc rId="6130" sId="1" numFmtId="34">
    <oc r="D339">
      <v>1402864.5</v>
    </oc>
    <nc r="D339">
      <v>1088600</v>
    </nc>
  </rcc>
  <rcc rId="6131" sId="1" numFmtId="34">
    <oc r="D342">
      <v>10000000</v>
    </oc>
    <nc r="D342"/>
  </rcc>
  <rcc rId="6132" sId="1" numFmtId="34">
    <oc r="E346">
      <f>772411+11027428.16</f>
    </oc>
    <nc r="E346">
      <v>0</v>
    </nc>
  </rcc>
  <rcc rId="6133" sId="1">
    <oc r="A343" t="inlineStr">
      <is>
        <t>Софинансирование капитальных вложений в объекты муниципальной собственности муниципальных образований Архангельской области</t>
      </is>
    </oc>
    <nc r="A343" t="inlineStr">
      <is>
        <t>Бюджетные инвестиции в объекты капитального строительства собственности муниципальных образований</t>
      </is>
    </nc>
  </rcc>
  <rfmt sheetId="1" sqref="A343:F346">
    <dxf>
      <fill>
        <patternFill patternType="none">
          <bgColor auto="1"/>
        </patternFill>
      </fill>
    </dxf>
  </rfmt>
  <rcc rId="6134" sId="1" numFmtId="34">
    <oc r="D350">
      <v>124883</v>
    </oc>
    <nc r="D350">
      <v>50000</v>
    </nc>
  </rcc>
  <rfmt sheetId="1" sqref="A347:F350">
    <dxf>
      <fill>
        <patternFill patternType="none">
          <bgColor auto="1"/>
        </patternFill>
      </fill>
    </dxf>
  </rfmt>
  <rcc rId="6135" sId="1" odxf="1" dxf="1">
    <oc r="D343">
      <f>D344</f>
    </oc>
    <nc r="D343">
      <f>D344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6136" sId="1" odxf="1" dxf="1">
    <oc r="D344">
      <f>D345</f>
    </oc>
    <nc r="D344">
      <f>D345</f>
    </nc>
    <o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odxf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6137" sId="1" odxf="1" dxf="1">
    <oc r="D345">
      <f>D346</f>
    </oc>
    <nc r="D345">
      <f>D346</f>
    </nc>
    <o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odxf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6138" sId="1" odxf="1" dxf="1" numFmtId="34">
    <oc r="D346">
      <v>68333930</v>
    </oc>
    <nc r="D346">
      <v>580390.96</v>
    </nc>
    <ndxf>
      <fill>
        <patternFill patternType="solid">
          <bgColor rgb="FFFFFF00"/>
        </patternFill>
      </fill>
    </ndxf>
  </rcc>
  <rfmt sheetId="1" sqref="D343:D346">
    <dxf>
      <fill>
        <patternFill patternType="none">
          <bgColor auto="1"/>
        </patternFill>
      </fill>
    </dxf>
  </rfmt>
  <rrc rId="6139" sId="1" ref="A340:XFD340" action="deleteRow">
    <undo index="1" exp="ref" v="1" dr="F340" r="F336" sId="1"/>
    <undo index="1" exp="ref" v="1" dr="E340" r="E336" sId="1"/>
    <undo index="1" exp="ref" v="1" dr="D340" r="D336" sId="1"/>
    <rfmt sheetId="1" xfDxf="1" sqref="A340:XFD340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40" t="inlineStr">
        <is>
          <t>Капитальные вложения в объекты государственной (муниципальной) собственности</t>
        </is>
      </nc>
      <ndxf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40" t="inlineStr">
        <is>
          <t>12 2 00 80400</t>
        </is>
      </nc>
      <ndxf>
        <numFmt numFmtId="164" formatCode="_-* #,##0.00_р_._-;\-* #,##0.00_р_._-;_-* &quot;-&quot;??_р_._-;_-@_-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340">
        <v>400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40">
        <f>D341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0">
        <f>E341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0">
        <f>F341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0" start="0" length="0">
      <dxf>
        <fill>
          <patternFill>
            <bgColor theme="0"/>
          </patternFill>
        </fill>
      </dxf>
    </rfmt>
    <rfmt sheetId="1" sqref="H340" start="0" length="0">
      <dxf>
        <fill>
          <patternFill>
            <bgColor theme="0"/>
          </patternFill>
        </fill>
      </dxf>
    </rfmt>
    <rfmt sheetId="1" sqref="I340" start="0" length="0">
      <dxf>
        <fill>
          <patternFill>
            <bgColor theme="0"/>
          </patternFill>
        </fill>
      </dxf>
    </rfmt>
    <rfmt sheetId="1" sqref="J340" start="0" length="0">
      <dxf>
        <fill>
          <patternFill>
            <bgColor theme="0"/>
          </patternFill>
        </fill>
      </dxf>
    </rfmt>
  </rrc>
  <rrc rId="6140" sId="1" ref="A340:XFD340" action="deleteRow">
    <rfmt sheetId="1" xfDxf="1" sqref="A340:XFD340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40" t="inlineStr">
        <is>
          <t>Бюджетные инвестиции</t>
        </is>
      </nc>
      <ndxf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40" t="inlineStr">
        <is>
          <t>12 2 00 80400</t>
        </is>
      </nc>
      <ndxf>
        <numFmt numFmtId="164" formatCode="_-* #,##0.00_р_._-;\-* #,##0.00_р_._-;_-* &quot;-&quot;??_р_._-;_-@_-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340">
        <v>410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40">
        <f>D341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0">
        <f>E341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0">
        <f>F341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0" start="0" length="0">
      <dxf>
        <fill>
          <patternFill>
            <bgColor theme="0"/>
          </patternFill>
        </fill>
      </dxf>
    </rfmt>
    <rfmt sheetId="1" sqref="H340" start="0" length="0">
      <dxf>
        <fill>
          <patternFill>
            <bgColor theme="0"/>
          </patternFill>
        </fill>
      </dxf>
    </rfmt>
    <rfmt sheetId="1" sqref="I340" start="0" length="0">
      <dxf>
        <fill>
          <patternFill>
            <bgColor theme="0"/>
          </patternFill>
        </fill>
      </dxf>
    </rfmt>
    <rfmt sheetId="1" sqref="J340" start="0" length="0">
      <dxf>
        <fill>
          <patternFill>
            <bgColor theme="0"/>
          </patternFill>
        </fill>
      </dxf>
    </rfmt>
  </rrc>
  <rrc rId="6141" sId="1" ref="A340:XFD340" action="deleteRow">
    <rfmt sheetId="1" xfDxf="1" sqref="A340:XFD340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40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40" t="inlineStr">
        <is>
          <t>12 2 00 80400</t>
        </is>
      </nc>
      <ndxf>
        <numFmt numFmtId="164" formatCode="_-* #,##0.00_р_._-;\-* #,##0.00_р_._-;_-* &quot;-&quot;??_р_._-;_-@_-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340">
        <v>414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340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40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40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0" start="0" length="0">
      <dxf>
        <fill>
          <patternFill>
            <bgColor theme="0"/>
          </patternFill>
        </fill>
      </dxf>
    </rfmt>
    <rfmt sheetId="1" sqref="H340" start="0" length="0">
      <dxf>
        <fill>
          <patternFill>
            <bgColor theme="0"/>
          </patternFill>
        </fill>
      </dxf>
    </rfmt>
    <rfmt sheetId="1" sqref="I340" start="0" length="0">
      <dxf>
        <fill>
          <patternFill>
            <bgColor theme="0"/>
          </patternFill>
        </fill>
      </dxf>
    </rfmt>
    <rfmt sheetId="1" sqref="J340" start="0" length="0">
      <dxf>
        <fill>
          <patternFill>
            <bgColor theme="0"/>
          </patternFill>
        </fill>
      </dxf>
    </rfmt>
  </rrc>
  <rcc rId="6142" sId="1">
    <oc r="D336">
      <f>D338+#REF!</f>
    </oc>
    <nc r="D336">
      <f>D338</f>
    </nc>
  </rcc>
  <rcc rId="6143" sId="1">
    <oc r="E336">
      <f>E338+#REF!</f>
    </oc>
    <nc r="E336">
      <f>E338</f>
    </nc>
  </rcc>
  <rcc rId="6144" sId="1">
    <oc r="F336">
      <f>F338+#REF!</f>
    </oc>
    <nc r="F336">
      <f>F338</f>
    </nc>
  </rcc>
  <rcc rId="6145" sId="1" numFmtId="34">
    <oc r="D352">
      <v>5252591.24</v>
    </oc>
    <nc r="D352">
      <v>5415539.9100000001</v>
    </nc>
  </rcc>
  <rcc rId="6146" sId="1" numFmtId="34">
    <oc r="F352">
      <v>4049967.12</v>
    </oc>
    <nc r="F352">
      <v>5857447.9699999997</v>
    </nc>
  </rcc>
  <rcc rId="6147" sId="1" numFmtId="34">
    <oc r="D353">
      <v>120655.72</v>
    </oc>
    <nc r="D353">
      <v>150000</v>
    </nc>
  </rcc>
  <rcc rId="6148" sId="1" numFmtId="34">
    <oc r="F353">
      <v>100000</v>
    </oc>
    <nc r="F353">
      <v>150000</v>
    </nc>
  </rcc>
  <rcc rId="6149" sId="1" numFmtId="34">
    <oc r="D354">
      <v>1586282.55</v>
    </oc>
    <nc r="D354">
      <v>1635493.05</v>
    </nc>
  </rcc>
  <rcc rId="6150" sId="1" numFmtId="34">
    <oc r="F354">
      <v>1223090.07</v>
    </oc>
    <nc r="F354">
      <v>1768949.29</v>
    </nc>
  </rcc>
  <rcc rId="6151" sId="1" numFmtId="34">
    <oc r="D357">
      <v>332996.43</v>
    </oc>
    <nc r="D357">
      <v>303650</v>
    </nc>
  </rcc>
  <rcc rId="6152" sId="1" numFmtId="34">
    <oc r="E357">
      <v>371662.7</v>
    </oc>
    <nc r="E357">
      <v>303650</v>
    </nc>
  </rcc>
  <rcc rId="6153" sId="1" numFmtId="34">
    <oc r="F357">
      <v>371662.7</v>
    </oc>
    <nc r="F357">
      <v>303650</v>
    </nc>
  </rcc>
  <rcc rId="6154" sId="1" numFmtId="34">
    <oc r="D363">
      <v>92549.47</v>
    </oc>
    <nc r="D363">
      <v>85182.28</v>
    </nc>
  </rcc>
  <rfmt sheetId="1" sqref="A348:F363">
    <dxf>
      <fill>
        <patternFill patternType="none">
          <bgColor auto="1"/>
        </patternFill>
      </fill>
    </dxf>
  </rfmt>
  <rfmt sheetId="1" sqref="A307:F363">
    <dxf>
      <fill>
        <patternFill patternType="none">
          <bgColor auto="1"/>
        </patternFill>
      </fill>
    </dxf>
  </rfmt>
  <rcc rId="6155" sId="1" numFmtId="34">
    <oc r="D368">
      <f>97534.51-97534.51</f>
    </oc>
    <nc r="D368">
      <v>756000</v>
    </nc>
  </rcc>
  <rcc rId="6156" sId="1" numFmtId="34">
    <oc r="D372">
      <f>1512000</f>
    </oc>
    <nc r="D372">
      <v>756000</v>
    </nc>
  </rcc>
  <rcc rId="6157" sId="1" numFmtId="34">
    <nc r="E372">
      <v>756000</v>
    </nc>
  </rcc>
  <rcc rId="6158" sId="1" numFmtId="34">
    <nc r="F372">
      <v>756000</v>
    </nc>
  </rcc>
  <rrc rId="6159" sId="1" ref="A365:XFD365" action="deleteRow">
    <undo index="0" exp="ref" v="1" dr="F365" r="F364" sId="1"/>
    <undo index="0" exp="ref" v="1" dr="E365" r="E364" sId="1"/>
    <undo index="0" exp="ref" v="1" dr="D365" r="D364" sId="1"/>
    <rfmt sheetId="1" xfDxf="1" sqref="A365:XFD365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365" t="inlineStr">
        <is>
          <t>Реализация мероприятий по обеспечению жильем молодых семей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13 0 00 L4970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365" start="0" length="0">
      <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65">
        <f>D367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5">
        <f>E367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5">
        <f>F367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5" start="0" length="0">
      <dxf>
        <fill>
          <patternFill patternType="solid">
            <bgColor theme="0"/>
          </patternFill>
        </fill>
      </dxf>
    </rfmt>
    <rfmt sheetId="1" sqref="H365" start="0" length="0">
      <dxf>
        <fill>
          <patternFill patternType="solid">
            <bgColor theme="0"/>
          </patternFill>
        </fill>
      </dxf>
    </rfmt>
    <rfmt sheetId="1" sqref="I365" start="0" length="0">
      <dxf>
        <fill>
          <patternFill patternType="solid">
            <bgColor theme="0"/>
          </patternFill>
        </fill>
      </dxf>
    </rfmt>
    <rfmt sheetId="1" sqref="J365" start="0" length="0">
      <dxf>
        <fill>
          <patternFill patternType="solid">
            <bgColor theme="0"/>
          </patternFill>
        </fill>
      </dxf>
    </rfmt>
  </rrc>
  <rrc rId="6160" sId="1" ref="A365:XFD365" action="deleteRow">
    <rfmt sheetId="1" xfDxf="1" sqref="A365:XFD365" start="0" length="0">
      <dxf>
        <font>
          <name val="Times New Roman"/>
          <scheme val="none"/>
        </font>
        <alignment vertical="center" readingOrder="0"/>
      </dxf>
    </rfmt>
    <rcc rId="0" sId="1" dxf="1">
      <nc r="A365" t="inlineStr">
        <is>
          <t>Социальное обеспечение и иные выплаты населению</t>
        </is>
      </nc>
      <ndxf>
        <fill>
          <patternFill patternType="solid">
            <bgColor rgb="FFFFFF0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13 0 00 L4970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365">
        <v>300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65">
        <f>D366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5">
        <f>E366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5">
        <f>F366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5" start="0" length="0">
      <dxf>
        <fill>
          <patternFill patternType="solid">
            <bgColor theme="0"/>
          </patternFill>
        </fill>
      </dxf>
    </rfmt>
    <rfmt sheetId="1" sqref="H365" start="0" length="0">
      <dxf>
        <fill>
          <patternFill patternType="solid">
            <bgColor theme="0"/>
          </patternFill>
        </fill>
      </dxf>
    </rfmt>
    <rfmt sheetId="1" sqref="I365" start="0" length="0">
      <dxf>
        <fill>
          <patternFill patternType="solid">
            <bgColor theme="0"/>
          </patternFill>
        </fill>
      </dxf>
    </rfmt>
    <rfmt sheetId="1" sqref="J365" start="0" length="0">
      <dxf>
        <fill>
          <patternFill patternType="solid">
            <bgColor theme="0"/>
          </patternFill>
        </fill>
      </dxf>
    </rfmt>
  </rrc>
  <rrc rId="6161" sId="1" ref="A365:XFD365" action="deleteRow">
    <rfmt sheetId="1" xfDxf="1" sqref="A365:XFD365" start="0" length="0">
      <dxf>
        <font>
          <name val="Times New Roman"/>
          <scheme val="none"/>
        </font>
        <alignment vertical="center" readingOrder="0"/>
      </dxf>
    </rfmt>
    <rcc rId="0" sId="1" dxf="1">
      <nc r="A365" t="inlineStr">
        <is>
          <t xml:space="preserve">Социальные выплаты гражданам, кроме публичных нормативных социальных выплат </t>
        </is>
      </nc>
      <ndxf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13 0 00 L4970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365">
        <v>320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65">
        <f>D366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5">
        <f>E366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5">
        <f>F366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5" start="0" length="0">
      <dxf>
        <fill>
          <patternFill patternType="solid">
            <bgColor theme="0"/>
          </patternFill>
        </fill>
      </dxf>
    </rfmt>
    <rfmt sheetId="1" sqref="H365" start="0" length="0">
      <dxf>
        <fill>
          <patternFill patternType="solid">
            <bgColor theme="0"/>
          </patternFill>
        </fill>
      </dxf>
    </rfmt>
    <rfmt sheetId="1" sqref="I365" start="0" length="0">
      <dxf>
        <fill>
          <patternFill patternType="solid">
            <bgColor theme="0"/>
          </patternFill>
        </fill>
      </dxf>
    </rfmt>
    <rfmt sheetId="1" sqref="J365" start="0" length="0">
      <dxf>
        <fill>
          <patternFill patternType="solid">
            <bgColor theme="0"/>
          </patternFill>
        </fill>
      </dxf>
    </rfmt>
  </rrc>
  <rrc rId="6162" sId="1" ref="A365:XFD365" action="deleteRow">
    <rfmt sheetId="1" xfDxf="1" sqref="A365:XFD365" start="0" length="0">
      <dxf>
        <font>
          <name val="Times New Roman"/>
          <scheme val="none"/>
        </font>
        <alignment vertical="center" readingOrder="0"/>
      </dxf>
    </rfmt>
    <rcc rId="0" sId="1" dxf="1">
      <nc r="A365" t="inlineStr">
        <is>
          <t>Субсидии гражданам на приобретение жилья</t>
        </is>
      </nc>
      <ndxf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13 0 00 L4970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365">
        <v>322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365">
        <v>756000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65">
        <v>756000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365">
        <v>756000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5" start="0" length="0">
      <dxf>
        <fill>
          <patternFill patternType="solid">
            <bgColor theme="0"/>
          </patternFill>
        </fill>
      </dxf>
    </rfmt>
    <rfmt sheetId="1" sqref="H365" start="0" length="0">
      <dxf>
        <fill>
          <patternFill patternType="solid">
            <bgColor theme="0"/>
          </patternFill>
        </fill>
      </dxf>
    </rfmt>
    <rfmt sheetId="1" sqref="I365" start="0" length="0">
      <dxf>
        <fill>
          <patternFill patternType="solid">
            <bgColor theme="0"/>
          </patternFill>
        </fill>
      </dxf>
    </rfmt>
    <rfmt sheetId="1" sqref="J365" start="0" length="0">
      <dxf>
        <fill>
          <patternFill patternType="solid">
            <bgColor theme="0"/>
          </patternFill>
        </fill>
      </dxf>
    </rfmt>
  </rrc>
  <rcc rId="6163" sId="1">
    <oc r="D364">
      <f>#REF!+D365</f>
    </oc>
    <nc r="D364">
      <f>D365</f>
    </nc>
  </rcc>
  <rcc rId="6164" sId="1">
    <oc r="E364">
      <f>#REF!+E365</f>
    </oc>
    <nc r="E364">
      <f>E365</f>
    </nc>
  </rcc>
  <rcc rId="6165" sId="1">
    <oc r="F364">
      <f>#REF!+F365</f>
    </oc>
    <nc r="F364">
      <f>F365</f>
    </nc>
  </rcc>
  <rfmt sheetId="1" sqref="A364:F368">
    <dxf>
      <fill>
        <patternFill patternType="none">
          <bgColor auto="1"/>
        </patternFill>
      </fill>
    </dxf>
  </rfmt>
  <rfmt sheetId="1" sqref="A369:F373">
    <dxf>
      <fill>
        <patternFill patternType="none">
          <bgColor auto="1"/>
        </patternFill>
      </fill>
    </dxf>
  </rfmt>
  <rcc rId="6166" sId="1" numFmtId="34">
    <oc r="D378">
      <v>623973.1</v>
    </oc>
    <nc r="D378">
      <v>630212.82999999996</v>
    </nc>
  </rcc>
  <rcc rId="6167" sId="1" numFmtId="34">
    <oc r="E378">
      <v>630212.82999999996</v>
    </oc>
    <nc r="E378">
      <v>655421.34</v>
    </nc>
  </rcc>
  <rcc rId="6168" sId="1" numFmtId="34">
    <oc r="F378">
      <v>655421.34</v>
    </oc>
    <nc r="F378">
      <v>681640.69</v>
    </nc>
  </rcc>
  <rcc rId="6169" sId="1" numFmtId="34">
    <oc r="D380">
      <v>188439.88</v>
    </oc>
    <nc r="D380">
      <v>190324.28</v>
    </nc>
  </rcc>
  <rcc rId="6170" sId="1" numFmtId="34">
    <oc r="E380">
      <v>190324.28</v>
    </oc>
    <nc r="E380">
      <v>197937.25</v>
    </nc>
  </rcc>
  <rcc rId="6171" sId="1" numFmtId="34">
    <oc r="F380">
      <v>197937.25</v>
    </oc>
    <nc r="F380">
      <v>205855.5</v>
    </nc>
  </rcc>
  <rfmt sheetId="1" sqref="A374:F387">
    <dxf>
      <fill>
        <patternFill patternType="none">
          <bgColor auto="1"/>
        </patternFill>
      </fill>
    </dxf>
  </rfmt>
  <rcc rId="6172" sId="1" numFmtId="34">
    <oc r="D392">
      <v>3231247.8</v>
    </oc>
    <nc r="D392">
      <v>3271152.85</v>
    </nc>
  </rcc>
  <rcc rId="6173" sId="1" numFmtId="34">
    <oc r="E392">
      <v>3231247.8</v>
    </oc>
    <nc r="E392">
      <v>3271152.85</v>
    </nc>
  </rcc>
  <rcc rId="6174" sId="1" numFmtId="34">
    <oc r="F392">
      <v>3263560.28</v>
    </oc>
    <nc r="F392">
      <v>3303864.38</v>
    </nc>
  </rcc>
  <rcc rId="6175" sId="1" numFmtId="34">
    <oc r="D393">
      <f>80000-2320.4</f>
    </oc>
    <nc r="D393">
      <v>30000</v>
    </nc>
  </rcc>
  <rcc rId="6176" sId="1" numFmtId="34">
    <oc r="E393">
      <v>80000</v>
    </oc>
    <nc r="E393">
      <v>30000</v>
    </nc>
  </rcc>
  <rcc rId="6177" sId="1" numFmtId="34">
    <oc r="F393">
      <v>80000</v>
    </oc>
    <nc r="F393">
      <v>30000</v>
    </nc>
  </rcc>
  <rcc rId="6178" sId="1" numFmtId="34">
    <oc r="D394">
      <v>975836.84</v>
    </oc>
    <nc r="D394">
      <v>987888.16</v>
    </nc>
  </rcc>
  <rcc rId="6179" sId="1" numFmtId="34">
    <oc r="E394">
      <v>975836.84</v>
    </oc>
    <nc r="E394">
      <v>987888.16</v>
    </nc>
  </rcc>
  <rcc rId="6180" sId="1" numFmtId="34">
    <oc r="F394">
      <v>985595.21</v>
    </oc>
    <nc r="F394">
      <v>997767.04</v>
    </nc>
  </rcc>
  <rcc rId="6181" sId="1" numFmtId="34">
    <oc r="D397">
      <v>224695.4</v>
    </oc>
    <nc r="D397">
      <v>133700</v>
    </nc>
  </rcc>
  <rcc rId="6182" sId="1" numFmtId="34">
    <oc r="E397">
      <v>83700</v>
    </oc>
    <nc r="E397">
      <v>133700</v>
    </nc>
  </rcc>
  <rcc rId="6183" sId="1" numFmtId="34">
    <oc r="F397">
      <v>83700</v>
    </oc>
    <nc r="F397">
      <v>133700</v>
    </nc>
  </rcc>
  <rcc rId="6184" sId="1" numFmtId="34">
    <oc r="D399">
      <v>250.74</v>
    </oc>
    <nc r="D399">
      <v>0</v>
    </nc>
  </rcc>
  <rrc rId="6185" sId="1" ref="A398:XFD398" action="deleteRow">
    <undo index="3" exp="ref" v="1" dr="F398" r="F389" sId="1"/>
    <undo index="3" exp="ref" v="1" dr="E398" r="E389" sId="1"/>
    <undo index="3" exp="ref" v="1" dr="D398" r="D389" sId="1"/>
    <rfmt sheetId="1" xfDxf="1" sqref="A398:XFD398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398" t="inlineStr">
        <is>
          <t xml:space="preserve">Иные бюджетные ассигнования 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98" t="inlineStr">
        <is>
          <t>16 0 00 80100</t>
        </is>
      </nc>
      <ndxf>
        <font>
          <i val="0"/>
          <sz val="10"/>
          <color auto="1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398">
        <v>800</v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398">
        <f>D399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98">
        <f>E399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98">
        <f>F399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ill>
          <patternFill patternType="solid">
            <bgColor theme="0"/>
          </patternFill>
        </fill>
      </dxf>
    </rfmt>
    <rfmt sheetId="1" sqref="H398" start="0" length="0">
      <dxf>
        <fill>
          <patternFill patternType="solid">
            <bgColor theme="0"/>
          </patternFill>
        </fill>
      </dxf>
    </rfmt>
    <rfmt sheetId="1" sqref="I398" start="0" length="0">
      <dxf>
        <fill>
          <patternFill patternType="solid">
            <bgColor theme="0"/>
          </patternFill>
        </fill>
      </dxf>
    </rfmt>
    <rfmt sheetId="1" sqref="J398" start="0" length="0">
      <dxf>
        <fill>
          <patternFill patternType="solid">
            <bgColor theme="0"/>
          </patternFill>
        </fill>
      </dxf>
    </rfmt>
  </rrc>
  <rrc rId="6186" sId="1" ref="A398:XFD398" action="deleteRow">
    <rfmt sheetId="1" xfDxf="1" sqref="A398:XFD398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398" t="inlineStr">
        <is>
          <t>Уплата налогов, сборов и иных платежей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98" t="inlineStr">
        <is>
          <t>16 0 00 80100</t>
        </is>
      </nc>
      <ndxf>
        <font>
          <i val="0"/>
          <sz val="10"/>
          <color auto="1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398">
        <v>850</v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398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398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98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8" start="0" length="0">
      <dxf>
        <fill>
          <patternFill patternType="solid">
            <bgColor theme="0"/>
          </patternFill>
        </fill>
      </dxf>
    </rfmt>
    <rfmt sheetId="1" sqref="H398" start="0" length="0">
      <dxf>
        <fill>
          <patternFill patternType="solid">
            <bgColor theme="0"/>
          </patternFill>
        </fill>
      </dxf>
    </rfmt>
    <rfmt sheetId="1" sqref="I398" start="0" length="0">
      <dxf>
        <fill>
          <patternFill patternType="solid">
            <bgColor theme="0"/>
          </patternFill>
        </fill>
      </dxf>
    </rfmt>
    <rfmt sheetId="1" sqref="J398" start="0" length="0">
      <dxf>
        <fill>
          <patternFill patternType="solid">
            <bgColor theme="0"/>
          </patternFill>
        </fill>
      </dxf>
    </rfmt>
  </rrc>
  <rcc rId="6187" sId="1">
    <oc r="D389">
      <f>D390+D395+#REF!</f>
    </oc>
    <nc r="D389">
      <f>D390+D395</f>
    </nc>
  </rcc>
  <rcc rId="6188" sId="1" odxf="1" dxf="1">
    <oc r="E389">
      <f>E390+E395+#REF!</f>
    </oc>
    <nc r="E389">
      <f>E390+E395</f>
    </nc>
    <odxf>
      <border outline="0">
        <left/>
      </border>
    </odxf>
    <ndxf>
      <border outline="0">
        <left style="thin">
          <color indexed="64"/>
        </left>
      </border>
    </ndxf>
  </rcc>
  <rcc rId="6189" sId="1" odxf="1" dxf="1">
    <oc r="F389">
      <f>F390+F395+#REF!</f>
    </oc>
    <nc r="F389">
      <f>F390+F395</f>
    </nc>
    <odxf>
      <border outline="0">
        <left/>
      </border>
    </odxf>
    <ndxf>
      <border outline="0">
        <left style="thin">
          <color indexed="64"/>
        </left>
      </border>
    </ndxf>
  </rcc>
  <rcc rId="6190" sId="1" numFmtId="34">
    <oc r="D401">
      <v>36300</v>
    </oc>
    <nc r="D401">
      <v>30000</v>
    </nc>
  </rcc>
  <rcc rId="6191" sId="1" numFmtId="34">
    <oc r="E401">
      <v>36300</v>
    </oc>
    <nc r="E401">
      <v>30000</v>
    </nc>
  </rcc>
  <rcc rId="6192" sId="1" numFmtId="34">
    <oc r="F401">
      <v>36300</v>
    </oc>
    <nc r="F401">
      <v>30000</v>
    </nc>
  </rcc>
  <rfmt sheetId="1" sqref="A388:F401">
    <dxf>
      <fill>
        <patternFill patternType="none">
          <bgColor auto="1"/>
        </patternFill>
      </fill>
    </dxf>
  </rfmt>
  <rcc rId="6193" sId="1" numFmtId="34">
    <oc r="D406">
      <f>55099.99+1375048.64-727434.02</f>
    </oc>
    <nc r="D406">
      <v>3723000</v>
    </nc>
  </rcc>
  <rcc rId="6194" sId="1" numFmtId="34">
    <nc r="E406">
      <v>2500000</v>
    </nc>
  </rcc>
  <rcc rId="6195" sId="1" numFmtId="34">
    <nc r="F406">
      <v>2500000</v>
    </nc>
  </rcc>
  <rfmt sheetId="1" sqref="A402:F406">
    <dxf>
      <fill>
        <patternFill patternType="none">
          <bgColor auto="1"/>
        </patternFill>
      </fill>
    </dxf>
  </rfmt>
  <rrc rId="6196" sId="1" ref="A407:XFD407" action="deleteRow">
    <undo index="3" exp="ref" v="1" dr="F407" r="F402" sId="1"/>
    <undo index="3" exp="ref" v="1" dr="E407" r="E402" sId="1"/>
    <undo index="3" exp="ref" v="1" dr="D407" r="D402" sId="1"/>
    <rfmt sheetId="1" xfDxf="1" sqref="A407:XFD407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407" t="inlineStr">
        <is>
          <t>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      </is>
      </nc>
      <ndxf>
        <fill>
          <patternFill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07" t="inlineStr">
        <is>
          <t>17 0 00 Э4950</t>
        </is>
      </nc>
      <ndxf>
        <font>
          <name val="Times New Roman Cyr"/>
          <scheme val="none"/>
        </font>
        <numFmt numFmtId="30" formatCode="@"/>
        <fill>
          <patternFill>
            <bgColor rgb="FFFFFF00"/>
          </patternFill>
        </fill>
        <alignment horizontal="center" readingOrder="0"/>
        <border outline="0">
          <bottom style="thin">
            <color indexed="64"/>
          </bottom>
        </border>
      </ndxf>
    </rcc>
    <rfmt sheetId="1" sqref="C407" start="0" length="0">
      <dxf>
        <font>
          <name val="Times New Roman Cyr"/>
          <scheme val="none"/>
        </font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407">
        <f>D408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07">
        <f>E408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07">
        <f>F408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ill>
          <patternFill>
            <bgColor theme="0"/>
          </patternFill>
        </fill>
      </dxf>
    </rfmt>
    <rfmt sheetId="1" sqref="H407" start="0" length="0">
      <dxf>
        <fill>
          <patternFill>
            <bgColor theme="0"/>
          </patternFill>
        </fill>
      </dxf>
    </rfmt>
    <rfmt sheetId="1" sqref="I407" start="0" length="0">
      <dxf>
        <fill>
          <patternFill>
            <bgColor theme="0"/>
          </patternFill>
        </fill>
      </dxf>
    </rfmt>
    <rfmt sheetId="1" sqref="J407" start="0" length="0">
      <dxf>
        <fill>
          <patternFill>
            <bgColor theme="0"/>
          </patternFill>
        </fill>
      </dxf>
    </rfmt>
  </rrc>
  <rrc rId="6197" sId="1" ref="A407:XFD407" action="deleteRow">
    <rfmt sheetId="1" xfDxf="1" sqref="A407:XFD407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407" t="inlineStr">
        <is>
          <t>Закупка товаров, работ и услуг для обеспечения государственных (муниципальных) нужд</t>
        </is>
      </nc>
      <ndxf>
        <fill>
          <patternFill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07" t="inlineStr">
        <is>
          <t>17 0 00 Э4950</t>
        </is>
      </nc>
      <ndxf>
        <font>
          <name val="Times New Roman Cyr"/>
          <scheme val="none"/>
        </font>
        <numFmt numFmtId="30" formatCode="@"/>
        <fill>
          <patternFill>
            <bgColor rgb="FFFFFF00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dxf="1">
      <nc r="C407" t="inlineStr">
        <is>
          <t>200</t>
        </is>
      </nc>
      <ndxf>
        <font>
          <name val="Times New Roman Cyr"/>
          <scheme val="none"/>
        </font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07">
        <f>D408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07">
        <f>E408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07">
        <f>F408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ill>
          <patternFill>
            <bgColor theme="0"/>
          </patternFill>
        </fill>
      </dxf>
    </rfmt>
    <rfmt sheetId="1" sqref="H407" start="0" length="0">
      <dxf>
        <fill>
          <patternFill>
            <bgColor theme="0"/>
          </patternFill>
        </fill>
      </dxf>
    </rfmt>
    <rfmt sheetId="1" sqref="I407" start="0" length="0">
      <dxf>
        <fill>
          <patternFill>
            <bgColor theme="0"/>
          </patternFill>
        </fill>
      </dxf>
    </rfmt>
    <rfmt sheetId="1" sqref="J407" start="0" length="0">
      <dxf>
        <fill>
          <patternFill>
            <bgColor theme="0"/>
          </patternFill>
        </fill>
      </dxf>
    </rfmt>
  </rrc>
  <rrc rId="6198" sId="1" ref="A407:XFD407" action="deleteRow">
    <rfmt sheetId="1" xfDxf="1" sqref="A407:XFD407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407" t="inlineStr">
        <is>
          <t>Иные закупки товаров, работ и услуг для обеспечения государственных (муниципальных) нужд</t>
        </is>
      </nc>
      <ndxf>
        <fill>
          <patternFill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07" t="inlineStr">
        <is>
          <t>17 0 00 Э4950</t>
        </is>
      </nc>
      <ndxf>
        <font>
          <name val="Times New Roman Cyr"/>
          <scheme val="none"/>
        </font>
        <numFmt numFmtId="30" formatCode="@"/>
        <fill>
          <patternFill>
            <bgColor rgb="FFFFFF00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dxf="1">
      <nc r="C407" t="inlineStr">
        <is>
          <t>240</t>
        </is>
      </nc>
      <ndxf>
        <font>
          <name val="Times New Roman Cyr"/>
          <scheme val="none"/>
        </font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07">
        <f>D408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07">
        <f>E408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07">
        <f>F408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ill>
          <patternFill>
            <bgColor theme="0"/>
          </patternFill>
        </fill>
      </dxf>
    </rfmt>
    <rfmt sheetId="1" sqref="H407" start="0" length="0">
      <dxf>
        <fill>
          <patternFill>
            <bgColor theme="0"/>
          </patternFill>
        </fill>
      </dxf>
    </rfmt>
    <rfmt sheetId="1" sqref="I407" start="0" length="0">
      <dxf>
        <fill>
          <patternFill>
            <bgColor theme="0"/>
          </patternFill>
        </fill>
      </dxf>
    </rfmt>
    <rfmt sheetId="1" sqref="J407" start="0" length="0">
      <dxf>
        <fill>
          <patternFill>
            <bgColor theme="0"/>
          </patternFill>
        </fill>
      </dxf>
    </rfmt>
  </rrc>
  <rrc rId="6199" sId="1" ref="A407:XFD407" action="deleteRow">
    <rfmt sheetId="1" xfDxf="1" sqref="A407:XFD407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407" t="inlineStr">
        <is>
          <t>Прочая закупка товаров, работ и услуг</t>
        </is>
      </nc>
      <ndxf>
        <fill>
          <patternFill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07" t="inlineStr">
        <is>
          <t>17 0 00 Э4950</t>
        </is>
      </nc>
      <ndxf>
        <font>
          <name val="Times New Roman Cyr"/>
          <scheme val="none"/>
        </font>
        <numFmt numFmtId="30" formatCode="@"/>
        <fill>
          <patternFill>
            <bgColor rgb="FFFFFF00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dxf="1">
      <nc r="C407" t="inlineStr">
        <is>
          <t>244</t>
        </is>
      </nc>
      <ndxf>
        <font>
          <name val="Times New Roman Cyr"/>
          <scheme val="none"/>
        </font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407">
        <v>28325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407">
        <v>20461.62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407">
        <v>20461.62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ill>
          <patternFill>
            <bgColor theme="0"/>
          </patternFill>
        </fill>
      </dxf>
    </rfmt>
    <rfmt sheetId="1" sqref="H407" start="0" length="0">
      <dxf>
        <fill>
          <patternFill>
            <bgColor theme="0"/>
          </patternFill>
        </fill>
      </dxf>
    </rfmt>
    <rfmt sheetId="1" sqref="I407" start="0" length="0">
      <dxf>
        <fill>
          <patternFill>
            <bgColor theme="0"/>
          </patternFill>
        </fill>
      </dxf>
    </rfmt>
    <rfmt sheetId="1" sqref="J407" start="0" length="0">
      <dxf>
        <fill>
          <patternFill>
            <bgColor theme="0"/>
          </patternFill>
        </fill>
      </dxf>
    </rfmt>
  </rrc>
  <rrc rId="6200" sId="1" ref="A407:XFD407" action="deleteRow">
    <undo index="5" exp="ref" v="1" dr="F407" r="F402" sId="1"/>
    <undo index="5" exp="ref" v="1" dr="E407" r="E402" sId="1"/>
    <undo index="5" exp="ref" v="1" dr="D407" r="D402" sId="1"/>
    <rfmt sheetId="1" xfDxf="1" sqref="A407:XFD407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407" t="inlineStr">
        <is>
          <t>Благоустройство территорий и приобретение уборочной и коммунальной техники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07" t="inlineStr">
        <is>
          <t>17 0 00 Э8840</t>
        </is>
      </nc>
      <ndxf>
        <font>
          <name val="Times New Roman Cyr"/>
          <scheme val="none"/>
        </font>
        <numFmt numFmtId="30" formatCode="@"/>
        <alignment horizontal="center" readingOrder="0"/>
        <border outline="0">
          <bottom style="thin">
            <color indexed="64"/>
          </bottom>
        </border>
      </ndxf>
    </rcc>
    <rfmt sheetId="1" sqref="C407" start="0" length="0">
      <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407">
        <f>D408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07">
        <f>E408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07">
        <f>F408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ill>
          <patternFill>
            <bgColor theme="0"/>
          </patternFill>
        </fill>
      </dxf>
    </rfmt>
    <rfmt sheetId="1" sqref="H407" start="0" length="0">
      <dxf>
        <fill>
          <patternFill>
            <bgColor theme="0"/>
          </patternFill>
        </fill>
      </dxf>
    </rfmt>
    <rfmt sheetId="1" sqref="I407" start="0" length="0">
      <dxf>
        <fill>
          <patternFill>
            <bgColor theme="0"/>
          </patternFill>
        </fill>
      </dxf>
    </rfmt>
    <rfmt sheetId="1" sqref="J407" start="0" length="0">
      <dxf>
        <fill>
          <patternFill>
            <bgColor theme="0"/>
          </patternFill>
        </fill>
      </dxf>
    </rfmt>
  </rrc>
  <rrc rId="6201" sId="1" ref="A407:XFD407" action="deleteRow">
    <rfmt sheetId="1" xfDxf="1" sqref="A407:XFD407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407" t="inlineStr">
        <is>
          <t>Закупка товаров, работ и услуг для обеспечения государственных (муниципальных) нужд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07" t="inlineStr">
        <is>
          <t>17 0 00 Э8840</t>
        </is>
      </nc>
      <ndxf>
        <font>
          <name val="Times New Roman Cyr"/>
          <scheme val="none"/>
        </font>
        <numFmt numFmtId="30" formatCode="@"/>
        <alignment horizontal="center" readingOrder="0"/>
        <border outline="0">
          <bottom style="thin">
            <color indexed="64"/>
          </bottom>
        </border>
      </ndxf>
    </rcc>
    <rcc rId="0" sId="1" dxf="1">
      <nc r="C407">
        <v>200</v>
      </nc>
      <n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07">
        <f>D408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07">
        <f>E408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07">
        <f>F408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ill>
          <patternFill>
            <bgColor theme="0"/>
          </patternFill>
        </fill>
      </dxf>
    </rfmt>
    <rfmt sheetId="1" sqref="H407" start="0" length="0">
      <dxf>
        <fill>
          <patternFill>
            <bgColor theme="0"/>
          </patternFill>
        </fill>
      </dxf>
    </rfmt>
    <rfmt sheetId="1" sqref="I407" start="0" length="0">
      <dxf>
        <fill>
          <patternFill>
            <bgColor theme="0"/>
          </patternFill>
        </fill>
      </dxf>
    </rfmt>
    <rfmt sheetId="1" sqref="J407" start="0" length="0">
      <dxf>
        <fill>
          <patternFill>
            <bgColor theme="0"/>
          </patternFill>
        </fill>
      </dxf>
    </rfmt>
  </rrc>
  <rrc rId="6202" sId="1" ref="A407:XFD407" action="deleteRow">
    <rfmt sheetId="1" xfDxf="1" sqref="A407:XFD407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407" t="inlineStr">
        <is>
          <t>Иные закупки товаров, работ и услуг для обеспечения государственных (муниципальных) нужд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07" t="inlineStr">
        <is>
          <t>17 0 00 Э8840</t>
        </is>
      </nc>
      <ndxf>
        <font>
          <name val="Times New Roman Cyr"/>
          <scheme val="none"/>
        </font>
        <numFmt numFmtId="30" formatCode="@"/>
        <alignment horizontal="center" readingOrder="0"/>
        <border outline="0">
          <bottom style="thin">
            <color indexed="64"/>
          </bottom>
        </border>
      </ndxf>
    </rcc>
    <rcc rId="0" sId="1" dxf="1">
      <nc r="C407">
        <v>240</v>
      </nc>
      <n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07">
        <f>D408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07">
        <f>E408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07">
        <f>F408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ill>
          <patternFill>
            <bgColor theme="0"/>
          </patternFill>
        </fill>
      </dxf>
    </rfmt>
    <rfmt sheetId="1" sqref="H407" start="0" length="0">
      <dxf>
        <fill>
          <patternFill>
            <bgColor theme="0"/>
          </patternFill>
        </fill>
      </dxf>
    </rfmt>
    <rfmt sheetId="1" sqref="I407" start="0" length="0">
      <dxf>
        <fill>
          <patternFill>
            <bgColor theme="0"/>
          </patternFill>
        </fill>
      </dxf>
    </rfmt>
    <rfmt sheetId="1" sqref="J407" start="0" length="0">
      <dxf>
        <fill>
          <patternFill>
            <bgColor theme="0"/>
          </patternFill>
        </fill>
      </dxf>
    </rfmt>
  </rrc>
  <rrc rId="6203" sId="1" ref="A407:XFD407" action="deleteRow">
    <rfmt sheetId="1" xfDxf="1" sqref="A407:XFD407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407" t="inlineStr">
        <is>
          <t>Прочая закупка товаров, работ и услуг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07" t="inlineStr">
        <is>
          <t>17 0 00 Э8840</t>
        </is>
      </nc>
      <ndxf>
        <font>
          <name val="Times New Roman Cyr"/>
          <scheme val="none"/>
        </font>
        <numFmt numFmtId="30" formatCode="@"/>
        <alignment horizontal="center" readingOrder="0"/>
        <border outline="0">
          <bottom style="thin">
            <color indexed="64"/>
          </bottom>
        </border>
      </ndxf>
    </rcc>
    <rcc rId="0" sId="1" dxf="1">
      <nc r="C407">
        <v>244</v>
      </nc>
      <ndxf>
        <font>
          <name val="Times New Roman Cyr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407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34">
      <nc r="E40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40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ill>
          <patternFill>
            <bgColor theme="0"/>
          </patternFill>
        </fill>
      </dxf>
    </rfmt>
    <rfmt sheetId="1" sqref="H407" start="0" length="0">
      <dxf>
        <fill>
          <patternFill>
            <bgColor theme="0"/>
          </patternFill>
        </fill>
      </dxf>
    </rfmt>
    <rfmt sheetId="1" sqref="I407" start="0" length="0">
      <dxf>
        <fill>
          <patternFill>
            <bgColor theme="0"/>
          </patternFill>
        </fill>
      </dxf>
    </rfmt>
    <rfmt sheetId="1" sqref="J407" start="0" length="0">
      <dxf>
        <fill>
          <patternFill>
            <bgColor theme="0"/>
          </patternFill>
        </fill>
      </dxf>
    </rfmt>
  </rrc>
  <rcc rId="6204" sId="1">
    <oc r="D402">
      <f>D407+D403+#REF!+#REF!</f>
    </oc>
    <nc r="D402">
      <f>D407+D403</f>
    </nc>
  </rcc>
  <rcc rId="6205" sId="1">
    <oc r="E402">
      <f>E407+E403+#REF!+#REF!</f>
    </oc>
    <nc r="E402">
      <f>E407+E403</f>
    </nc>
  </rcc>
  <rcc rId="6206" sId="1">
    <oc r="F402">
      <f>F407+F403+#REF!+#REF!</f>
    </oc>
    <nc r="F402">
      <f>F407+F403</f>
    </nc>
  </rcc>
  <rcc rId="6207" sId="1" numFmtId="34">
    <oc r="D411">
      <f>5042333.07-17.14</f>
    </oc>
    <nc r="D411">
      <v>0</v>
    </nc>
  </rcc>
  <rfmt sheetId="1" sqref="A407:F411">
    <dxf>
      <fill>
        <patternFill patternType="none">
          <bgColor auto="1"/>
        </patternFill>
      </fill>
    </dxf>
  </rfmt>
  <rcc rId="6208" sId="1" numFmtId="34">
    <oc r="D416">
      <v>750000</v>
    </oc>
    <nc r="D416">
      <v>0</v>
    </nc>
  </rcc>
  <rcc rId="6209" sId="1" numFmtId="34">
    <oc r="D421">
      <f>45921098.28-17150081.74</f>
    </oc>
    <nc r="D421">
      <v>0</v>
    </nc>
  </rcc>
  <rcc rId="6210" sId="1" numFmtId="34">
    <oc r="D425">
      <f>369155.92+275000</f>
    </oc>
    <nc r="D425">
      <v>0</v>
    </nc>
  </rcc>
  <rfmt sheetId="1" sqref="A412:F425">
    <dxf>
      <fill>
        <patternFill patternType="none">
          <bgColor auto="1"/>
        </patternFill>
      </fill>
    </dxf>
  </rfmt>
  <rcc rId="6211" sId="1" numFmtId="34">
    <oc r="D430">
      <f>2051966+600000</f>
    </oc>
    <nc r="D430">
      <v>600000</v>
    </nc>
  </rcc>
  <rcc rId="6212" sId="1" numFmtId="34">
    <oc r="E430">
      <v>355485.97</v>
    </oc>
    <nc r="E430">
      <v>600000</v>
    </nc>
  </rcc>
  <rcc rId="6213" sId="1" numFmtId="34">
    <oc r="F430">
      <v>1300000</v>
    </oc>
    <nc r="F430">
      <v>600000</v>
    </nc>
  </rcc>
  <rcc rId="6214" sId="1" numFmtId="34">
    <oc r="D435">
      <f>3353991.2-858180.68</f>
    </oc>
    <nc r="D435">
      <v>0</v>
    </nc>
  </rcc>
  <rcc rId="6215" sId="1" numFmtId="34">
    <oc r="D438">
      <v>7287280</v>
    </oc>
    <nc r="D438">
      <v>0</v>
    </nc>
  </rcc>
  <rcc rId="6216" sId="1" numFmtId="34">
    <oc r="D442">
      <f>68448.8-17513.89</f>
    </oc>
    <nc r="D442">
      <v>0</v>
    </nc>
  </rcc>
  <rcc rId="6217" sId="1" numFmtId="34">
    <oc r="D445">
      <v>141284</v>
    </oc>
    <nc r="D445">
      <v>0</v>
    </nc>
  </rcc>
  <rcc rId="6218" sId="1" numFmtId="34">
    <oc r="D449">
      <v>9013</v>
    </oc>
    <nc r="D449">
      <v>0</v>
    </nc>
  </rcc>
  <rcc rId="6219" sId="1" odxf="1" dxf="1">
    <oc r="A431" t="inlineStr">
      <is>
        <t>Мероприятия в рамках федерального проекта "Обеспечение устойчивого сокращения непригодного для проживания жилищного фонда"</t>
      </is>
    </oc>
    <nc r="A431" t="inlineStr">
      <is>
        <t>Прочие расходы по муниципальному жилищному фонду</t>
      </is>
    </nc>
    <odxf>
      <font>
        <name val="Times New Roman Cyr"/>
        <scheme val="none"/>
      </font>
      <fill>
        <patternFill>
          <bgColor rgb="FFFFFF00"/>
        </patternFill>
      </fill>
    </odxf>
    <ndxf>
      <font>
        <name val="Times New Roman"/>
        <scheme val="none"/>
      </font>
      <fill>
        <patternFill>
          <bgColor rgb="FF92D050"/>
        </patternFill>
      </fill>
    </ndxf>
  </rcc>
  <rcc rId="6220" sId="1" odxf="1" dxf="1">
    <oc r="A432" t="inlineStr">
      <is>
        <t>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    </is>
    </oc>
    <nc r="A432" t="inlineStr">
      <is>
        <t>Закупка товаров, работ и услуг для обеспечения государственных (муниципальных) нужд</t>
      </is>
    </nc>
    <odxf>
      <fill>
        <patternFill>
          <bgColor rgb="FFFFFF00"/>
        </patternFill>
      </fill>
      <alignment vertical="top" readingOrder="0"/>
    </odxf>
    <ndxf>
      <fill>
        <patternFill>
          <bgColor rgb="FF92D050"/>
        </patternFill>
      </fill>
      <alignment vertical="center" readingOrder="0"/>
    </ndxf>
  </rcc>
  <rcc rId="6221" sId="1" odxf="1" dxf="1">
    <oc r="A433" t="inlineStr">
      <is>
        <t>Социальное обеспечение и иные выплаты населению</t>
      </is>
    </oc>
    <nc r="A433" t="inlineStr">
      <is>
        <t>Иные закупки товаров,работ и услуг для обеспечения государственных (муниципальных) нужд</t>
      </is>
    </nc>
    <odxf>
      <fill>
        <patternFill>
          <bgColor rgb="FFFFFF00"/>
        </patternFill>
      </fill>
    </odxf>
    <ndxf>
      <fill>
        <patternFill>
          <bgColor rgb="FF92D050"/>
        </patternFill>
      </fill>
    </ndxf>
  </rcc>
  <rcc rId="6222" sId="1" odxf="1" dxf="1">
    <oc r="A434" t="inlineStr">
      <is>
        <t>Социальные выплаты гражданам, кроме публичных нормативных социальных выплат</t>
      </is>
    </oc>
    <nc r="A434" t="inlineStr">
      <is>
        <t xml:space="preserve">Прочая закупка товаров, работ и услуг </t>
      </is>
    </nc>
    <odxf>
      <fill>
        <patternFill>
          <bgColor rgb="FFFFFF00"/>
        </patternFill>
      </fill>
      <alignment wrapText="1" readingOrder="0"/>
      <border outline="0">
        <top style="thin">
          <color indexed="64"/>
        </top>
      </border>
    </odxf>
    <ndxf>
      <fill>
        <patternFill>
          <bgColor rgb="FF92D050"/>
        </patternFill>
      </fill>
      <alignment wrapText="0" readingOrder="0"/>
      <border outline="0">
        <top/>
      </border>
    </ndxf>
  </rcc>
  <rcc rId="6223" sId="1" odxf="1" s="1" dxf="1">
    <oc r="B431" t="inlineStr">
      <is>
        <t>19 0 F3 00000</t>
      </is>
    </oc>
    <nc r="B431" t="inlineStr">
      <is>
        <t>19 0 00 83650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odxf>
    <ndxf>
      <font>
        <sz val="10"/>
        <color auto="1"/>
        <name val="Times New Roman"/>
        <scheme val="none"/>
      </font>
      <fill>
        <patternFill>
          <bgColor rgb="FF92D050"/>
        </patternFill>
      </fill>
    </ndxf>
  </rcc>
  <rfmt sheetId="1" s="1" sqref="C431" start="0" length="0">
    <dxf>
      <fill>
        <patternFill>
          <bgColor rgb="FF92D050"/>
        </patternFill>
      </fill>
    </dxf>
  </rfmt>
  <rcc rId="6224" sId="1" odxf="1" dxf="1">
    <oc r="B432" t="inlineStr">
      <is>
        <t>19 0 F3 67483</t>
      </is>
    </oc>
    <nc r="B432" t="inlineStr">
      <is>
        <t>19 0 00 83650</t>
      </is>
    </nc>
    <odxf>
      <fill>
        <patternFill>
          <bgColor rgb="FFFFFF00"/>
        </patternFill>
      </fill>
    </odxf>
    <ndxf>
      <fill>
        <patternFill>
          <bgColor rgb="FF92D050"/>
        </patternFill>
      </fill>
    </ndxf>
  </rcc>
  <rcc rId="6225" sId="1" odxf="1" dxf="1">
    <nc r="C432">
      <v>200</v>
    </nc>
    <odxf>
      <fill>
        <patternFill>
          <bgColor rgb="FFFFFF00"/>
        </patternFill>
      </fill>
    </odxf>
    <ndxf>
      <fill>
        <patternFill>
          <bgColor rgb="FF92D050"/>
        </patternFill>
      </fill>
    </ndxf>
  </rcc>
  <rcc rId="6226" sId="1" odxf="1" dxf="1">
    <oc r="B433" t="inlineStr">
      <is>
        <t>19 0 F3 67483</t>
      </is>
    </oc>
    <nc r="B433" t="inlineStr">
      <is>
        <t>19 0 00 83650</t>
      </is>
    </nc>
    <odxf>
      <fill>
        <patternFill>
          <bgColor rgb="FFFFFF00"/>
        </patternFill>
      </fill>
    </odxf>
    <ndxf>
      <fill>
        <patternFill>
          <bgColor rgb="FF92D050"/>
        </patternFill>
      </fill>
    </ndxf>
  </rcc>
  <rcc rId="6227" sId="1" odxf="1" dxf="1">
    <oc r="C433">
      <v>300</v>
    </oc>
    <nc r="C433">
      <v>240</v>
    </nc>
    <odxf>
      <fill>
        <patternFill>
          <bgColor rgb="FFFFFF00"/>
        </patternFill>
      </fill>
      <border outline="0">
        <top style="thin">
          <color indexed="64"/>
        </top>
        <bottom/>
      </border>
    </odxf>
    <ndxf>
      <fill>
        <patternFill>
          <bgColor rgb="FF92D050"/>
        </patternFill>
      </fill>
      <border outline="0">
        <top/>
        <bottom style="thin">
          <color indexed="64"/>
        </bottom>
      </border>
    </ndxf>
  </rcc>
  <rcc rId="6228" sId="1" odxf="1" dxf="1">
    <oc r="B434" t="inlineStr">
      <is>
        <t>19 0 F3 67483</t>
      </is>
    </oc>
    <nc r="B434" t="inlineStr">
      <is>
        <t>19 0 00 83650</t>
      </is>
    </nc>
    <odxf>
      <fill>
        <patternFill>
          <bgColor rgb="FFFFFF00"/>
        </patternFill>
      </fill>
    </odxf>
    <ndxf>
      <fill>
        <patternFill>
          <bgColor rgb="FF92D050"/>
        </patternFill>
      </fill>
    </ndxf>
  </rcc>
  <rcc rId="6229" sId="1" odxf="1" dxf="1">
    <oc r="C434">
      <v>320</v>
    </oc>
    <nc r="C434">
      <v>244</v>
    </nc>
    <odxf>
      <fill>
        <patternFill>
          <bgColor rgb="FFFFFF00"/>
        </patternFill>
      </fill>
      <border outline="0">
        <top style="thin">
          <color indexed="64"/>
        </top>
        <bottom/>
      </border>
    </odxf>
    <ndxf>
      <fill>
        <patternFill>
          <bgColor rgb="FF92D050"/>
        </patternFill>
      </fill>
      <border outline="0">
        <top/>
        <bottom style="thin">
          <color indexed="64"/>
        </bottom>
      </border>
    </ndxf>
  </rcc>
  <rcc rId="6230" sId="1">
    <oc r="D431">
      <f>D432+D439+D446</f>
    </oc>
    <nc r="D431">
      <f>D432</f>
    </nc>
  </rcc>
  <rcc rId="6231" sId="1">
    <oc r="D432">
      <f>D437+D433</f>
    </oc>
    <nc r="D432">
      <f>D433</f>
    </nc>
  </rcc>
  <rcc rId="6232" sId="1">
    <oc r="D433">
      <f>D434</f>
    </oc>
    <nc r="D433">
      <f>D434</f>
    </nc>
  </rcc>
  <rcc rId="6233" sId="1">
    <oc r="E431">
      <f>E432+E439+E446</f>
    </oc>
    <nc r="E431">
      <f>E432</f>
    </nc>
  </rcc>
  <rcc rId="6234" sId="1">
    <oc r="F431">
      <f>F432+F439+F446</f>
    </oc>
    <nc r="F431">
      <f>F432</f>
    </nc>
  </rcc>
  <rcc rId="6235" sId="1">
    <oc r="E432">
      <f>E437+E433</f>
    </oc>
    <nc r="E432">
      <f>E433</f>
    </nc>
  </rcc>
  <rcc rId="6236" sId="1">
    <oc r="F432">
      <f>F437+F433</f>
    </oc>
    <nc r="F432">
      <f>F433</f>
    </nc>
  </rcc>
  <rcc rId="6237" sId="1">
    <oc r="E433">
      <f>E434</f>
    </oc>
    <nc r="E433">
      <f>E434</f>
    </nc>
  </rcc>
  <rcc rId="6238" sId="1">
    <oc r="F433">
      <f>F434</f>
    </oc>
    <nc r="F433">
      <f>F434</f>
    </nc>
  </rcc>
  <rrc rId="6239" sId="1" ref="A435:XFD435" action="deleteRow">
    <undo index="0" exp="ref" v="1" dr="F435" r="F434" sId="1"/>
    <undo index="0" exp="ref" v="1" dr="E435" r="E434" sId="1"/>
    <undo index="0" exp="ref" v="1" dr="D435" r="D434" sId="1"/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 xml:space="preserve">Субсидии гражданам на приобретение жилья </t>
        </is>
      </nc>
      <ndxf>
        <fill>
          <patternFill patternType="solid">
            <bgColor rgb="FFFFFF0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19 0 F3 67483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35">
        <v>322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40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Капитальные вложения в объекты государственной (муниципальной) собственности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67483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435">
        <v>400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35">
        <f>D436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>
        <f>E436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>
        <f>F436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41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Бюджетные инвестиции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67483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435">
        <v>410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35">
        <f>D436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>
        <f>E436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>
        <f>F436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42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Бюджетные инвестиции на приобретение объектов недвижимого имущества в государственную (муниципальную) собственность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67483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435" t="inlineStr">
        <is>
          <t>412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43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Обеспечение мероприятий по переселению граждан из аварийного жилищного фонда за счет средств бюджетов субъектов Российской Федерации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67484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="1" sqref="C435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435">
        <f>D440+D436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>
        <f>E440+E436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>
        <f>F440+F436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44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Социальное обеспечение и иные выплаты населению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67484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35">
        <v>300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D435">
        <f>D436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>
        <f>E436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>
        <f>F436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45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Социальные выплаты гражданам, кроме публичных нормативных социальных выплат</t>
        </is>
      </nc>
      <ndxf>
        <fill>
          <patternFill patternType="solid">
            <bgColor rgb="FFFFFF0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19 0 F3 67484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35">
        <v>320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D435">
        <f>D436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>
        <f>E436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>
        <f>F436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46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 xml:space="preserve">Субсидии гражданам на приобретение жилья </t>
        </is>
      </nc>
      <ndxf>
        <fill>
          <patternFill patternType="solid">
            <bgColor rgb="FFFFFF0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19 0 F3 67484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35">
        <v>322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47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Капитальные вложения в объекты государственной (муниципальной) собственности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67484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435">
        <v>400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35">
        <f>D436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>
        <f>E436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>
        <f>F436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48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Бюджетные инвестиции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67484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435">
        <v>410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35">
        <f>D436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>
        <f>E436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>
        <f>F436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49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Бюджетные инвестиции на приобретение объектов недвижимого имущества в государственную (муниципальную) собственность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67484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435" t="inlineStr">
        <is>
          <t>412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50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      </is>
      </nc>
      <ndxf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6748S</t>
        </is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435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435">
        <f>D437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>
        <f>E437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>
        <f>F437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51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Капитальные вложения в объекты государственной (муниципальной) собственности</t>
        </is>
      </nc>
      <ndxf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6748S</t>
        </is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435">
        <v>400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35">
        <f>D436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>
        <f>E436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>
        <f>F436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52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Бюджетные инвестиции</t>
        </is>
      </nc>
      <ndxf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6748S</t>
        </is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435">
        <v>410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35">
        <f>D436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5">
        <f>E436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5">
        <f>F436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rc rId="6253" sId="1" ref="A435:XFD435" action="deleteRow">
    <rfmt sheetId="1" xfDxf="1" sqref="A435:XFD435" start="0" length="0">
      <dxf>
        <font>
          <name val="Times New Roman"/>
          <scheme val="none"/>
        </font>
        <alignment vertical="center" readingOrder="0"/>
      </dxf>
    </rfmt>
    <rcc rId="0" sId="1" dxf="1">
      <nc r="A435" t="inlineStr">
        <is>
          <t>Бюджетные инвестиции на приобретение объектов недвижимого имущества в государственную (муниципальную) собственность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5" t="inlineStr">
        <is>
          <t>19 0 F3 6748S</t>
        </is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435">
        <v>412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435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ill>
          <patternFill patternType="solid">
            <bgColor theme="0"/>
          </patternFill>
        </fill>
      </dxf>
    </rfmt>
    <rfmt sheetId="1" sqref="H435" start="0" length="0">
      <dxf>
        <fill>
          <patternFill patternType="solid">
            <bgColor theme="0"/>
          </patternFill>
        </fill>
      </dxf>
    </rfmt>
    <rfmt sheetId="1" sqref="I435" start="0" length="0">
      <dxf>
        <fill>
          <patternFill patternType="solid">
            <bgColor theme="0"/>
          </patternFill>
        </fill>
      </dxf>
    </rfmt>
    <rfmt sheetId="1" sqref="J435" start="0" length="0">
      <dxf>
        <fill>
          <patternFill patternType="solid">
            <bgColor theme="0"/>
          </patternFill>
        </fill>
      </dxf>
    </rfmt>
  </rrc>
  <rcc rId="6254" sId="1" numFmtId="34">
    <oc r="D434">
      <f>#REF!</f>
    </oc>
    <nc r="D434">
      <v>2022754.85</v>
    </nc>
  </rcc>
  <rcc rId="6255" sId="1" numFmtId="34">
    <oc r="E434">
      <f>#REF!</f>
    </oc>
    <nc r="E434">
      <v>0</v>
    </nc>
  </rcc>
  <rcc rId="6256" sId="1" numFmtId="34">
    <oc r="F434">
      <f>#REF!</f>
    </oc>
    <nc r="F434">
      <v>0</v>
    </nc>
  </rcc>
  <rfmt sheetId="1" sqref="A426:F434">
    <dxf>
      <fill>
        <patternFill patternType="none">
          <bgColor auto="1"/>
        </patternFill>
      </fill>
    </dxf>
  </rfmt>
  <rrc rId="6257" sId="1" ref="A436:XFD436" action="deleteRow">
    <undo index="0" exp="ref" v="1" dr="F436" r="F435" sId="1"/>
    <undo index="0" exp="ref" v="1" dr="E436" r="E435" sId="1"/>
    <undo index="0" exp="ref" v="1" dr="D436" r="D435" sId="1"/>
    <rfmt sheetId="1" xfDxf="1" sqref="A436:XFD43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436" t="inlineStr">
        <is>
          <t>Реализация мероприятий по социально-экономическому развитию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20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="1" sqref="C436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436">
        <f>D437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6">
        <f>E437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6">
        <f>F437</f>
      </nc>
      <n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6" start="0" length="0">
      <dxf>
        <fill>
          <patternFill patternType="solid">
            <bgColor theme="0"/>
          </patternFill>
        </fill>
      </dxf>
    </rfmt>
    <rfmt sheetId="1" sqref="H436" start="0" length="0">
      <dxf>
        <fill>
          <patternFill patternType="solid">
            <bgColor theme="0"/>
          </patternFill>
        </fill>
      </dxf>
    </rfmt>
    <rfmt sheetId="1" sqref="I436" start="0" length="0">
      <dxf>
        <fill>
          <patternFill patternType="solid">
            <bgColor theme="0"/>
          </patternFill>
        </fill>
      </dxf>
    </rfmt>
    <rfmt sheetId="1" sqref="J436" start="0" length="0">
      <dxf>
        <fill>
          <patternFill patternType="solid">
            <bgColor theme="0"/>
          </patternFill>
        </fill>
      </dxf>
    </rfmt>
  </rrc>
  <rrc rId="6258" sId="1" ref="A436:XFD436" action="deleteRow">
    <rfmt sheetId="1" xfDxf="1" sqref="A436:XFD43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436" t="inlineStr">
        <is>
          <t>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6" t="inlineStr">
        <is>
          <t>20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200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36">
        <f>D437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6">
        <f>E437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6">
        <f>F437</f>
      </nc>
      <n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6" start="0" length="0">
      <dxf>
        <fill>
          <patternFill patternType="solid">
            <bgColor theme="0"/>
          </patternFill>
        </fill>
      </dxf>
    </rfmt>
    <rfmt sheetId="1" sqref="H436" start="0" length="0">
      <dxf>
        <fill>
          <patternFill patternType="solid">
            <bgColor theme="0"/>
          </patternFill>
        </fill>
      </dxf>
    </rfmt>
    <rfmt sheetId="1" sqref="I436" start="0" length="0">
      <dxf>
        <fill>
          <patternFill patternType="solid">
            <bgColor theme="0"/>
          </patternFill>
        </fill>
      </dxf>
    </rfmt>
    <rfmt sheetId="1" sqref="J436" start="0" length="0">
      <dxf>
        <fill>
          <patternFill patternType="solid">
            <bgColor theme="0"/>
          </patternFill>
        </fill>
      </dxf>
    </rfmt>
  </rrc>
  <rrc rId="6259" sId="1" ref="A436:XFD436" action="deleteRow">
    <rfmt sheetId="1" xfDxf="1" sqref="A436:XFD43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436" t="inlineStr">
        <is>
          <t>Иные закупки товаров,работ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6" t="inlineStr">
        <is>
          <t>20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240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36">
        <f>D437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36">
        <f>E437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36">
        <f>F437</f>
      </nc>
      <n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6" start="0" length="0">
      <dxf>
        <fill>
          <patternFill patternType="solid">
            <bgColor theme="0"/>
          </patternFill>
        </fill>
      </dxf>
    </rfmt>
    <rfmt sheetId="1" sqref="H436" start="0" length="0">
      <dxf>
        <fill>
          <patternFill patternType="solid">
            <bgColor theme="0"/>
          </patternFill>
        </fill>
      </dxf>
    </rfmt>
    <rfmt sheetId="1" sqref="I436" start="0" length="0">
      <dxf>
        <fill>
          <patternFill patternType="solid">
            <bgColor theme="0"/>
          </patternFill>
        </fill>
      </dxf>
    </rfmt>
    <rfmt sheetId="1" sqref="J436" start="0" length="0">
      <dxf>
        <fill>
          <patternFill patternType="solid">
            <bgColor theme="0"/>
          </patternFill>
        </fill>
      </dxf>
    </rfmt>
  </rrc>
  <rrc rId="6260" sId="1" ref="A436:XFD436" action="deleteRow">
    <rfmt sheetId="1" xfDxf="1" sqref="A436:XFD43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436" t="inlineStr">
        <is>
          <t xml:space="preserve">Прочая закупка товаров, работ и услуг 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36" t="inlineStr">
        <is>
          <t>20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244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36">
        <f>7600000-2600191.95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436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436">
        <v>0</v>
      </nc>
      <n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6" start="0" length="0">
      <dxf>
        <fill>
          <patternFill patternType="solid">
            <bgColor theme="0"/>
          </patternFill>
        </fill>
      </dxf>
    </rfmt>
    <rfmt sheetId="1" sqref="H436" start="0" length="0">
      <dxf>
        <fill>
          <patternFill patternType="solid">
            <bgColor theme="0"/>
          </patternFill>
        </fill>
      </dxf>
    </rfmt>
    <rfmt sheetId="1" sqref="I436" start="0" length="0">
      <dxf>
        <fill>
          <patternFill patternType="solid">
            <bgColor theme="0"/>
          </patternFill>
        </fill>
      </dxf>
    </rfmt>
    <rfmt sheetId="1" sqref="J436" start="0" length="0">
      <dxf>
        <fill>
          <patternFill patternType="solid">
            <bgColor theme="0"/>
          </patternFill>
        </fill>
      </dxf>
    </rfmt>
  </rrc>
  <rcc rId="6261" sId="1" numFmtId="34">
    <oc r="D435">
      <f>#REF!</f>
    </oc>
    <nc r="D435">
      <v>0</v>
    </nc>
  </rcc>
  <rcc rId="6262" sId="1" numFmtId="34">
    <oc r="E435">
      <f>#REF!</f>
    </oc>
    <nc r="E435">
      <v>0</v>
    </nc>
  </rcc>
  <rcc rId="6263" sId="1" numFmtId="34">
    <oc r="F435">
      <f>#REF!</f>
    </oc>
    <nc r="F435">
      <v>0</v>
    </nc>
  </rcc>
  <rfmt sheetId="1" sqref="A435:F435">
    <dxf>
      <fill>
        <patternFill patternType="none">
          <bgColor auto="1"/>
        </patternFill>
      </fill>
    </dxf>
  </rfmt>
  <rfmt sheetId="1" s="1" sqref="D440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="1" sqref="E440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  <border outline="0">
        <left style="thin">
          <color indexed="64"/>
        </left>
      </border>
    </dxf>
  </rfmt>
  <rfmt sheetId="1" s="1" sqref="F440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  <border outline="0">
        <left style="thin">
          <color indexed="64"/>
        </left>
      </border>
    </dxf>
  </rfmt>
  <rcc rId="6264" sId="1" odxf="1" dxf="1" numFmtId="34">
    <oc r="D440">
      <f>75000+75000-75000-75000</f>
    </oc>
    <nc r="D440">
      <v>75000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fmt sheetId="1" sqref="E440" start="0" length="0">
    <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dxf>
  </rfmt>
  <rfmt sheetId="1" sqref="F440" start="0" length="0">
    <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dxf>
  </rfmt>
  <rfmt sheetId="1" sqref="A436:F440">
    <dxf>
      <fill>
        <patternFill patternType="none">
          <bgColor auto="1"/>
        </patternFill>
      </fill>
    </dxf>
  </rfmt>
  <rcc rId="6265" sId="1" numFmtId="34">
    <oc r="D446">
      <f>10307073.16+396451.39</f>
    </oc>
    <nc r="D446">
      <v>10934308.43</v>
    </nc>
  </rcc>
  <rcc rId="6266" sId="1" numFmtId="34">
    <oc r="E446">
      <v>11583650.4</v>
    </oc>
    <nc r="E446">
      <v>10934308.43</v>
    </nc>
  </rcc>
  <rcc rId="6267" sId="1" numFmtId="34">
    <oc r="F446">
      <v>11699486.9</v>
    </oc>
    <nc r="F446">
      <v>11043651.51</v>
    </nc>
  </rcc>
  <rcc rId="6268" sId="1" numFmtId="34">
    <oc r="D447">
      <v>171180</v>
    </oc>
    <nc r="D447">
      <v>175000</v>
    </nc>
  </rcc>
  <rcc rId="6269" sId="1" numFmtId="34">
    <oc r="E447">
      <v>311400</v>
    </oc>
    <nc r="E447">
      <v>175000</v>
    </nc>
  </rcc>
  <rcc rId="6270" sId="1" numFmtId="34">
    <oc r="F447">
      <v>311400</v>
    </oc>
    <nc r="F447">
      <v>175000</v>
    </nc>
  </rcc>
  <rcc rId="6271" sId="1" numFmtId="34">
    <oc r="D448">
      <f>3112736.09+119728.31</f>
    </oc>
    <nc r="D448">
      <v>3302161.15</v>
    </nc>
  </rcc>
  <rcc rId="6272" sId="1" numFmtId="34">
    <oc r="E448">
      <v>3498262.42</v>
    </oc>
    <nc r="E448">
      <v>3302161.15</v>
    </nc>
  </rcc>
  <rcc rId="6273" sId="1" numFmtId="34">
    <oc r="F448">
      <v>3533245.04</v>
    </oc>
    <nc r="F448">
      <v>3335182.76</v>
    </nc>
  </rcc>
  <rcc rId="6274" sId="1" numFmtId="34">
    <oc r="D454">
      <f>92400-45000</f>
    </oc>
    <nc r="D454">
      <v>100000</v>
    </nc>
  </rcc>
  <rcc rId="6275" sId="1" numFmtId="34">
    <oc r="E454">
      <v>150000</v>
    </oc>
    <nc r="E454">
      <v>100000</v>
    </nc>
  </rcc>
  <rcc rId="6276" sId="1" numFmtId="34">
    <oc r="F454">
      <v>150000</v>
    </oc>
    <nc r="F454">
      <v>100000</v>
    </nc>
  </rcc>
  <rcc rId="6277" sId="1" numFmtId="34">
    <oc r="D458">
      <v>1126800</v>
    </oc>
    <nc r="D458">
      <v>1069200</v>
    </nc>
  </rcc>
  <rcc rId="6278" sId="1" numFmtId="34">
    <oc r="E458">
      <v>1069200</v>
    </oc>
    <nc r="E458">
      <v>1582875.71</v>
    </nc>
  </rcc>
  <rcc rId="6279" sId="1" numFmtId="34">
    <oc r="F458">
      <v>1069200</v>
    </oc>
    <nc r="F458">
      <v>0</v>
    </nc>
  </rcc>
  <rcc rId="6280" sId="1" numFmtId="34">
    <oc r="D462">
      <f>16244589.95-580581.43-0.89</f>
    </oc>
    <nc r="D462">
      <v>27000000</v>
    </nc>
  </rcc>
  <rcc rId="6281" sId="1" numFmtId="34">
    <oc r="E462">
      <v>20150000</v>
    </oc>
    <nc r="E462">
      <v>38000000</v>
    </nc>
  </rcc>
  <rcc rId="6282" sId="1" numFmtId="34">
    <oc r="F462">
      <v>22840000</v>
    </oc>
    <nc r="F462">
      <v>41000000</v>
    </nc>
  </rcc>
  <rcc rId="6283" sId="1" numFmtId="34">
    <oc r="D451">
      <v>893200</v>
    </oc>
    <nc r="D451">
      <v>1034533</v>
    </nc>
  </rcc>
  <rcc rId="6284" sId="1" numFmtId="34">
    <oc r="E451">
      <v>940800</v>
    </oc>
    <nc r="E451">
      <v>1034533</v>
    </nc>
  </rcc>
  <rcc rId="6285" sId="1" numFmtId="34">
    <oc r="F451">
      <v>940800</v>
    </oc>
    <nc r="F451">
      <v>1034533</v>
    </nc>
  </rcc>
  <rcc rId="6286" sId="1" numFmtId="34">
    <oc r="E86">
      <v>152182097.92000002</v>
    </oc>
    <nc r="E86">
      <f>152182097.92-450000</f>
    </nc>
  </rcc>
  <rcc rId="6287" sId="1" numFmtId="34">
    <oc r="F86">
      <v>167670282.38000003</v>
    </oc>
    <nc r="F86">
      <f>167670282.38-450000</f>
    </nc>
  </rcc>
  <rfmt sheetId="1" sqref="A441:F462">
    <dxf>
      <fill>
        <patternFill patternType="none">
          <bgColor auto="1"/>
        </patternFill>
      </fill>
    </dxf>
  </rfmt>
  <rfmt sheetId="1" sqref="B441" start="0" length="0">
    <dxf>
      <font>
        <b val="0"/>
        <i val="0"/>
        <name val="Times New Roman"/>
        <scheme val="none"/>
      </font>
      <numFmt numFmtId="30" formatCode="@"/>
      <alignment horizontal="center" vertical="top" readingOrder="0"/>
      <border outline="0">
        <top style="thin">
          <color indexed="64"/>
        </top>
        <bottom style="thin">
          <color indexed="64"/>
        </bottom>
      </border>
    </dxf>
  </rfmt>
  <rfmt sheetId="1" sqref="B442" start="0" length="0">
    <dxf>
      <numFmt numFmtId="30" formatCode="@"/>
      <alignment horizontal="center" vertical="top" readingOrder="0"/>
    </dxf>
  </rfmt>
  <rfmt sheetId="1" sqref="B443" start="0" length="0">
    <dxf>
      <numFmt numFmtId="30" formatCode="@"/>
      <alignment horizontal="center" vertical="top" readingOrder="0"/>
    </dxf>
  </rfmt>
  <rfmt sheetId="1" sqref="B444" start="0" length="0">
    <dxf>
      <numFmt numFmtId="30" formatCode="@"/>
      <alignment horizontal="center" vertical="top" readingOrder="0"/>
    </dxf>
  </rfmt>
  <rfmt sheetId="1" sqref="B445" start="0" length="0">
    <dxf>
      <numFmt numFmtId="30" formatCode="@"/>
      <alignment horizontal="center" vertical="top" readingOrder="0"/>
    </dxf>
  </rfmt>
  <rfmt sheetId="1" sqref="B446" start="0" length="0">
    <dxf>
      <numFmt numFmtId="30" formatCode="@"/>
      <alignment horizontal="center" vertical="top" readingOrder="0"/>
    </dxf>
  </rfmt>
  <rfmt sheetId="1" sqref="B447" start="0" length="0">
    <dxf>
      <numFmt numFmtId="30" formatCode="@"/>
      <alignment horizontal="center" vertical="top" readingOrder="0"/>
    </dxf>
  </rfmt>
  <rfmt sheetId="1" sqref="B448" start="0" length="0">
    <dxf>
      <numFmt numFmtId="30" formatCode="@"/>
      <alignment horizontal="center" vertical="top" readingOrder="0"/>
    </dxf>
  </rfmt>
  <rfmt sheetId="1" sqref="B449" start="0" length="0">
    <dxf>
      <numFmt numFmtId="30" formatCode="@"/>
      <alignment horizontal="center" vertical="top" readingOrder="0"/>
    </dxf>
  </rfmt>
  <rfmt sheetId="1" sqref="B450" start="0" length="0">
    <dxf>
      <numFmt numFmtId="30" formatCode="@"/>
      <alignment horizontal="center" vertical="top" readingOrder="0"/>
    </dxf>
  </rfmt>
  <rfmt sheetId="1" sqref="B451" start="0" length="0">
    <dxf>
      <numFmt numFmtId="30" formatCode="@"/>
      <alignment horizontal="center" vertical="top" readingOrder="0"/>
    </dxf>
  </rfmt>
  <rfmt sheetId="1" sqref="B452" start="0" length="0">
    <dxf>
      <numFmt numFmtId="30" formatCode="@"/>
      <alignment horizontal="center" vertical="top" readingOrder="0"/>
    </dxf>
  </rfmt>
  <rfmt sheetId="1" sqref="B453" start="0" length="0">
    <dxf>
      <numFmt numFmtId="30" formatCode="@"/>
      <alignment horizontal="center" vertical="top" readingOrder="0"/>
    </dxf>
  </rfmt>
  <rfmt sheetId="1" sqref="B454" start="0" length="0">
    <dxf>
      <numFmt numFmtId="30" formatCode="@"/>
      <alignment horizontal="center" vertical="top" readingOrder="0"/>
    </dxf>
  </rfmt>
  <rfmt sheetId="1" sqref="B455" start="0" length="0">
    <dxf>
      <numFmt numFmtId="30" formatCode="@"/>
      <alignment horizontal="center" vertical="top" readingOrder="0"/>
    </dxf>
  </rfmt>
  <rfmt sheetId="1" sqref="B456" start="0" length="0">
    <dxf>
      <numFmt numFmtId="30" formatCode="@"/>
      <alignment horizontal="center" vertical="top" readingOrder="0"/>
    </dxf>
  </rfmt>
  <rfmt sheetId="1" sqref="B457" start="0" length="0">
    <dxf>
      <numFmt numFmtId="30" formatCode="@"/>
      <alignment horizontal="center" vertical="top" readingOrder="0"/>
    </dxf>
  </rfmt>
  <rfmt sheetId="1" sqref="B458" start="0" length="0">
    <dxf>
      <numFmt numFmtId="30" formatCode="@"/>
      <alignment horizontal="center" vertical="top" readingOrder="0"/>
    </dxf>
  </rfmt>
  <rfmt sheetId="1" sqref="B459" start="0" length="0">
    <dxf>
      <numFmt numFmtId="30" formatCode="@"/>
      <alignment horizontal="center" vertical="top" readingOrder="0"/>
    </dxf>
  </rfmt>
  <rfmt sheetId="1" sqref="B460" start="0" length="0">
    <dxf>
      <alignment vertical="top" readingOrder="0"/>
      <border outline="0">
        <left style="thin">
          <color indexed="64"/>
        </left>
        <right style="thin">
          <color indexed="64"/>
        </right>
      </border>
    </dxf>
  </rfmt>
  <rfmt sheetId="1" sqref="B461" start="0" length="0">
    <dxf>
      <alignment vertical="top" readingOrder="0"/>
      <border outline="0">
        <left style="thin">
          <color indexed="64"/>
        </left>
        <right style="thin">
          <color indexed="64"/>
        </right>
      </border>
    </dxf>
  </rfmt>
  <rfmt sheetId="1" sqref="B462" start="0" length="0">
    <dxf>
      <alignment vertical="top" readingOrder="0"/>
      <border outline="0">
        <left style="thin">
          <color indexed="64"/>
        </left>
        <right style="thin">
          <color indexed="64"/>
        </right>
      </border>
    </dxf>
  </rfmt>
  <rcc rId="6288" sId="1" numFmtId="34">
    <oc r="D467">
      <f>1235800+5063.14</f>
    </oc>
    <nc r="D467">
      <v>1149000</v>
    </nc>
  </rcc>
  <rcc rId="6289" sId="1" numFmtId="34">
    <oc r="E467">
      <v>1315800</v>
    </oc>
    <nc r="E467">
      <v>1149000</v>
    </nc>
  </rcc>
  <rcc rId="6290" sId="1" numFmtId="34">
    <oc r="F467">
      <v>1315800</v>
    </oc>
    <nc r="F467">
      <v>1149000</v>
    </nc>
  </rcc>
  <rcc rId="6291" sId="1" numFmtId="34">
    <oc r="D471">
      <v>1159368.6200000001</v>
    </oc>
    <nc r="D471">
      <v>0</v>
    </nc>
  </rcc>
  <rrc rId="6292" sId="1" ref="A468:XFD468" action="deleteRow">
    <undo index="3" exp="ref" v="1" dr="F468" r="F463" sId="1"/>
    <undo index="3" exp="ref" v="1" dr="E468" r="E463" sId="1"/>
    <undo index="3" exp="ref" v="1" dr="D468" r="D463" sId="1"/>
    <rfmt sheetId="1" xfDxf="1" sqref="A468:XFD468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468" t="inlineStr">
        <is>
          <t>Проведение комплексных кадастровых работ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68" t="inlineStr">
        <is>
          <t>25 0 00 L5111</t>
        </is>
      </nc>
      <ndxf>
        <numFmt numFmtId="30" formatCode="@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468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68">
        <f>D469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8">
        <f>E469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8">
        <f>F469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8" start="0" length="0">
      <dxf>
        <fill>
          <patternFill>
            <bgColor theme="0"/>
          </patternFill>
        </fill>
      </dxf>
    </rfmt>
    <rfmt sheetId="1" sqref="H468" start="0" length="0">
      <dxf>
        <fill>
          <patternFill>
            <bgColor theme="0"/>
          </patternFill>
        </fill>
      </dxf>
    </rfmt>
    <rfmt sheetId="1" sqref="I468" start="0" length="0">
      <dxf>
        <fill>
          <patternFill>
            <bgColor theme="0"/>
          </patternFill>
        </fill>
      </dxf>
    </rfmt>
    <rfmt sheetId="1" sqref="J468" start="0" length="0">
      <dxf>
        <fill>
          <patternFill>
            <bgColor theme="0"/>
          </patternFill>
        </fill>
      </dxf>
    </rfmt>
  </rrc>
  <rrc rId="6293" sId="1" ref="A468:XFD468" action="deleteRow">
    <rfmt sheetId="1" xfDxf="1" sqref="A468:XFD468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468" t="inlineStr">
        <is>
          <t>Закупка товаров, работ и услуг для обеспечения государственных (муниципальных) нужд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68" t="inlineStr">
        <is>
          <t>25 0 00 L5111</t>
        </is>
      </nc>
      <ndxf>
        <numFmt numFmtId="30" formatCode="@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68">
        <v>200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8">
        <f>D469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8">
        <f>E469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8">
        <f>F469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8" start="0" length="0">
      <dxf>
        <fill>
          <patternFill>
            <bgColor theme="0"/>
          </patternFill>
        </fill>
      </dxf>
    </rfmt>
    <rfmt sheetId="1" sqref="H468" start="0" length="0">
      <dxf>
        <fill>
          <patternFill>
            <bgColor theme="0"/>
          </patternFill>
        </fill>
      </dxf>
    </rfmt>
    <rfmt sheetId="1" sqref="I468" start="0" length="0">
      <dxf>
        <fill>
          <patternFill>
            <bgColor theme="0"/>
          </patternFill>
        </fill>
      </dxf>
    </rfmt>
    <rfmt sheetId="1" sqref="J468" start="0" length="0">
      <dxf>
        <fill>
          <patternFill>
            <bgColor theme="0"/>
          </patternFill>
        </fill>
      </dxf>
    </rfmt>
  </rrc>
  <rrc rId="6294" sId="1" ref="A468:XFD468" action="deleteRow">
    <rfmt sheetId="1" xfDxf="1" sqref="A468:XFD468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468" t="inlineStr">
        <is>
          <t>Иные закупки товаров,работ и услуг для обеспечения государственных (муниципальных) нужд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68" t="inlineStr">
        <is>
          <t>25 0 00 L5111</t>
        </is>
      </nc>
      <ndxf>
        <numFmt numFmtId="30" formatCode="@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68">
        <v>240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8">
        <f>D469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8">
        <f>E469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8">
        <f>F469</f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8" start="0" length="0">
      <dxf>
        <fill>
          <patternFill>
            <bgColor theme="0"/>
          </patternFill>
        </fill>
      </dxf>
    </rfmt>
    <rfmt sheetId="1" sqref="H468" start="0" length="0">
      <dxf>
        <fill>
          <patternFill>
            <bgColor theme="0"/>
          </patternFill>
        </fill>
      </dxf>
    </rfmt>
    <rfmt sheetId="1" sqref="I468" start="0" length="0">
      <dxf>
        <fill>
          <patternFill>
            <bgColor theme="0"/>
          </patternFill>
        </fill>
      </dxf>
    </rfmt>
    <rfmt sheetId="1" sqref="J468" start="0" length="0">
      <dxf>
        <fill>
          <patternFill>
            <bgColor theme="0"/>
          </patternFill>
        </fill>
      </dxf>
    </rfmt>
  </rrc>
  <rrc rId="6295" sId="1" ref="A468:XFD468" action="deleteRow">
    <rfmt sheetId="1" xfDxf="1" sqref="A468:XFD468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468" t="inlineStr">
        <is>
          <t>Прочая закупка товаров, работ и услуг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68" t="inlineStr">
        <is>
          <t>25 0 00 L5111</t>
        </is>
      </nc>
      <ndxf>
        <numFmt numFmtId="30" formatCode="@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68">
        <v>244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4">
      <nc r="D468">
        <v>0</v>
      </nc>
      <n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8" start="0" length="0">
      <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8" start="0" length="0">
      <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8" start="0" length="0">
      <dxf>
        <fill>
          <patternFill>
            <bgColor theme="0"/>
          </patternFill>
        </fill>
      </dxf>
    </rfmt>
    <rfmt sheetId="1" sqref="H468" start="0" length="0">
      <dxf>
        <fill>
          <patternFill>
            <bgColor theme="0"/>
          </patternFill>
        </fill>
      </dxf>
    </rfmt>
    <rfmt sheetId="1" sqref="I468" start="0" length="0">
      <dxf>
        <fill>
          <patternFill>
            <bgColor theme="0"/>
          </patternFill>
        </fill>
      </dxf>
    </rfmt>
    <rfmt sheetId="1" sqref="J468" start="0" length="0">
      <dxf>
        <fill>
          <patternFill>
            <bgColor theme="0"/>
          </patternFill>
        </fill>
      </dxf>
    </rfmt>
  </rrc>
  <rrc rId="6296" sId="1" ref="A468:XFD468" action="deleteRow">
    <undo index="1" exp="ref" v="1" dr="F468" r="F463" sId="1"/>
    <undo index="1" exp="ref" v="1" dr="E468" r="E463" sId="1"/>
    <undo index="1" exp="ref" v="1" dr="D468" r="D463" sId="1"/>
    <rfmt sheetId="1" xfDxf="1" sqref="A468:XFD468" start="0" length="0">
      <dxf>
        <font>
          <name val="Times New Roman"/>
          <scheme val="none"/>
        </font>
        <alignment vertical="center" readingOrder="0"/>
      </dxf>
    </rfmt>
    <rcc rId="0" sId="1" dxf="1">
      <nc r="A468" t="inlineStr">
        <is>
          <t>Проведение комплексных кадастровых работ (без федерального софинансирования)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68" t="inlineStr">
        <is>
          <t>25 0 00 S8400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468" start="0" length="0">
      <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68">
        <f>D469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8">
        <f>E469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8">
        <f>F469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8" start="0" length="0">
      <dxf>
        <fill>
          <patternFill patternType="solid">
            <bgColor theme="0"/>
          </patternFill>
        </fill>
      </dxf>
    </rfmt>
    <rfmt sheetId="1" sqref="H468" start="0" length="0">
      <dxf>
        <fill>
          <patternFill patternType="solid">
            <bgColor theme="0"/>
          </patternFill>
        </fill>
      </dxf>
    </rfmt>
    <rfmt sheetId="1" sqref="I468" start="0" length="0">
      <dxf>
        <fill>
          <patternFill patternType="solid">
            <bgColor theme="0"/>
          </patternFill>
        </fill>
      </dxf>
    </rfmt>
    <rfmt sheetId="1" sqref="J468" start="0" length="0">
      <dxf>
        <fill>
          <patternFill patternType="solid">
            <bgColor theme="0"/>
          </patternFill>
        </fill>
      </dxf>
    </rfmt>
  </rrc>
  <rrc rId="6297" sId="1" ref="A468:XFD468" action="deleteRow">
    <rfmt sheetId="1" xfDxf="1" sqref="A468:XFD468" start="0" length="0">
      <dxf>
        <font>
          <name val="Times New Roman"/>
          <scheme val="none"/>
        </font>
        <alignment vertical="center" readingOrder="0"/>
      </dxf>
    </rfmt>
    <rcc rId="0" sId="1" dxf="1">
      <nc r="A468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68" t="inlineStr">
        <is>
          <t>25 0 00 S8400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68">
        <v>200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8">
        <f>D469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8">
        <f>E469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8">
        <f>F469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8" start="0" length="0">
      <dxf>
        <fill>
          <patternFill patternType="solid">
            <bgColor theme="0"/>
          </patternFill>
        </fill>
      </dxf>
    </rfmt>
    <rfmt sheetId="1" sqref="H468" start="0" length="0">
      <dxf>
        <fill>
          <patternFill patternType="solid">
            <bgColor theme="0"/>
          </patternFill>
        </fill>
      </dxf>
    </rfmt>
    <rfmt sheetId="1" sqref="I468" start="0" length="0">
      <dxf>
        <fill>
          <patternFill patternType="solid">
            <bgColor theme="0"/>
          </patternFill>
        </fill>
      </dxf>
    </rfmt>
    <rfmt sheetId="1" sqref="J468" start="0" length="0">
      <dxf>
        <fill>
          <patternFill patternType="solid">
            <bgColor theme="0"/>
          </patternFill>
        </fill>
      </dxf>
    </rfmt>
  </rrc>
  <rrc rId="6298" sId="1" ref="A468:XFD468" action="deleteRow">
    <rfmt sheetId="1" xfDxf="1" sqref="A468:XFD468" start="0" length="0">
      <dxf>
        <font>
          <name val="Times New Roman"/>
          <scheme val="none"/>
        </font>
        <alignment vertical="center" readingOrder="0"/>
      </dxf>
    </rfmt>
    <rcc rId="0" sId="1" dxf="1">
      <nc r="A468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68" t="inlineStr">
        <is>
          <t>25 0 00 S8400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68">
        <v>240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8">
        <f>D469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8">
        <f>E469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8">
        <f>F469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8" start="0" length="0">
      <dxf>
        <fill>
          <patternFill patternType="solid">
            <bgColor theme="0"/>
          </patternFill>
        </fill>
      </dxf>
    </rfmt>
    <rfmt sheetId="1" sqref="H468" start="0" length="0">
      <dxf>
        <fill>
          <patternFill patternType="solid">
            <bgColor theme="0"/>
          </patternFill>
        </fill>
      </dxf>
    </rfmt>
    <rfmt sheetId="1" sqref="I468" start="0" length="0">
      <dxf>
        <fill>
          <patternFill patternType="solid">
            <bgColor theme="0"/>
          </patternFill>
        </fill>
      </dxf>
    </rfmt>
    <rfmt sheetId="1" sqref="J468" start="0" length="0">
      <dxf>
        <fill>
          <patternFill patternType="solid">
            <bgColor theme="0"/>
          </patternFill>
        </fill>
      </dxf>
    </rfmt>
  </rrc>
  <rrc rId="6299" sId="1" ref="A468:XFD468" action="deleteRow">
    <rfmt sheetId="1" xfDxf="1" sqref="A468:XFD468" start="0" length="0">
      <dxf>
        <font>
          <name val="Times New Roman"/>
          <scheme val="none"/>
        </font>
        <alignment vertical="center" readingOrder="0"/>
      </dxf>
    </rfmt>
    <rcc rId="0" sId="1" dxf="1">
      <nc r="A468" t="inlineStr">
        <is>
          <t>Прочая закупка товаров, работ и услуг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468" t="inlineStr">
        <is>
          <t>25 0 00 S8400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468">
        <v>244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8">
        <f>719100-124036.86-5063.14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4">
      <nc r="E468">
        <v>100000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4">
      <nc r="F468">
        <v>100000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8" start="0" length="0">
      <dxf>
        <fill>
          <patternFill patternType="solid">
            <bgColor theme="0"/>
          </patternFill>
        </fill>
      </dxf>
    </rfmt>
    <rfmt sheetId="1" sqref="H468" start="0" length="0">
      <dxf>
        <fill>
          <patternFill patternType="solid">
            <bgColor theme="0"/>
          </patternFill>
        </fill>
      </dxf>
    </rfmt>
    <rfmt sheetId="1" sqref="I468" start="0" length="0">
      <dxf>
        <fill>
          <patternFill patternType="solid">
            <bgColor theme="0"/>
          </patternFill>
        </fill>
      </dxf>
    </rfmt>
    <rfmt sheetId="1" sqref="J468" start="0" length="0">
      <dxf>
        <fill>
          <patternFill patternType="solid">
            <bgColor theme="0"/>
          </patternFill>
        </fill>
      </dxf>
    </rfmt>
  </rrc>
  <rcc rId="6300" sId="1">
    <oc r="D463">
      <f>D464+#REF!+#REF!</f>
    </oc>
    <nc r="D463">
      <f>D464</f>
    </nc>
  </rcc>
  <rcc rId="6301" sId="1">
    <oc r="E463">
      <f>E464+#REF!+#REF!</f>
    </oc>
    <nc r="E463">
      <f>E464</f>
    </nc>
  </rcc>
  <rcc rId="6302" sId="1">
    <oc r="F463">
      <f>F464+#REF!+#REF!</f>
    </oc>
    <nc r="F463">
      <f>F464</f>
    </nc>
  </rcc>
  <rrc rId="6303" sId="1" ref="A468:XFD472" action="insertRow"/>
  <rfmt sheetId="1" sqref="A468" start="0" length="0">
    <dxf>
      <font>
        <b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68" start="0" length="0">
    <dxf>
      <font>
        <b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468" start="0" length="0">
    <dxf>
      <font>
        <b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468" start="0" length="0">
    <dxf>
      <font>
        <b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E468" start="0" length="0">
    <dxf>
      <font>
        <b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F468" start="0" length="0">
    <dxf>
      <font>
        <b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46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6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46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04" sId="1" odxf="1" dxf="1">
    <nc r="D469">
      <f>D470</f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05" sId="1" odxf="1" dxf="1">
    <nc r="E469">
      <f>E470</f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06" sId="1" odxf="1" dxf="1">
    <nc r="F469">
      <f>F470</f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70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70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470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07" sId="1" odxf="1" dxf="1">
    <nc r="D470">
      <f>D471</f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08" sId="1" odxf="1" dxf="1">
    <nc r="E470">
      <f>E471</f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09" sId="1" odxf="1" dxf="1">
    <nc r="F470">
      <f>F471</f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7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7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47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47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E47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F47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10" sId="1" odxf="1" dxf="1">
    <nc r="A472" t="inlineStr">
      <is>
        <t>Прочая закупка товаров, работ и услуг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11" sId="1" odxf="1" dxf="1">
    <nc r="B472" t="inlineStr">
      <is>
        <t>25 0 00 82040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12" sId="1" odxf="1" dxf="1">
    <nc r="C472">
      <v>244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13" sId="1" odxf="1" dxf="1" numFmtId="34">
    <nc r="D472">
      <v>1149000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14" sId="1" odxf="1" dxf="1" numFmtId="34">
    <nc r="E472">
      <v>1149000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15" sId="1" odxf="1" dxf="1" numFmtId="34">
    <nc r="F472">
      <v>1149000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16" sId="1">
    <nc r="B468" t="inlineStr">
      <is>
        <t>27 0 00 00000</t>
      </is>
    </nc>
  </rcc>
  <rcc rId="6317" sId="1">
    <nc r="A468" t="inlineStr">
      <is>
        <t>Муниципальная программа Плесецкого муниципального округа Архангельской области "Модернизация систем коммунальной инфраструктуры (2023-2027 годы)"</t>
      </is>
    </nc>
  </rcc>
  <rcc rId="6318" sId="1">
    <nc r="A469" t="inlineStr">
      <is>
        <t>Капитальные вложения в объекты государственной (муниципальной) собственности</t>
      </is>
    </nc>
  </rcc>
  <rcc rId="6319" sId="1">
    <nc r="A470" t="inlineStr">
      <is>
        <t>Бюджетные инвестиции</t>
      </is>
    </nc>
  </rcc>
  <rcc rId="6320" sId="1">
    <nc r="A471" t="inlineStr">
      <is>
        <t>Бюджетные инвестиции в объекты капитального строительства государственной (муниципальной) собственности</t>
      </is>
    </nc>
  </rcc>
  <rrc rId="6321" sId="1" ref="A472:XFD472" action="deleteRow">
    <undo index="0" exp="ref" v="1" dr="F472" r="F471" sId="1"/>
    <undo index="0" exp="ref" v="1" dr="E472" r="E471" sId="1"/>
    <undo index="0" exp="ref" v="1" dr="D472" r="D471" sId="1"/>
    <rfmt sheetId="1" xfDxf="1" sqref="A472:XFD472" start="0" length="0">
      <dxf>
        <font>
          <name val="Times New Roman"/>
          <scheme val="none"/>
        </font>
        <alignment vertical="center" readingOrder="0"/>
      </dxf>
    </rfmt>
    <rcc rId="0" sId="1" dxf="1">
      <nc r="A472" t="inlineStr">
        <is>
          <t>Прочая закупка товаров, работ и услуг</t>
        </is>
      </nc>
      <ndxf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25 0 00 82040</t>
        </is>
      </nc>
      <ndxf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>
        <v>244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4">
      <nc r="D472">
        <v>1149000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4">
      <nc r="E472">
        <v>1149000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4">
      <nc r="F472">
        <v>1149000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I472" start="0" length="0">
      <dxf>
        <fill>
          <patternFill patternType="solid">
            <bgColor theme="0"/>
          </patternFill>
        </fill>
      </dxf>
    </rfmt>
    <rfmt sheetId="1" sqref="J472" start="0" length="0">
      <dxf>
        <fill>
          <patternFill patternType="solid">
            <bgColor theme="0"/>
          </patternFill>
        </fill>
      </dxf>
    </rfmt>
  </rrc>
  <rcc rId="6322" sId="1">
    <nc r="B469" t="inlineStr">
      <is>
        <t>27 0 00 83610</t>
      </is>
    </nc>
  </rcc>
  <rcc rId="6323" sId="1">
    <nc r="C469">
      <v>400</v>
    </nc>
  </rcc>
  <rcc rId="6324" sId="1">
    <nc r="B470" t="inlineStr">
      <is>
        <t>27 0 00 83610</t>
      </is>
    </nc>
  </rcc>
  <rcc rId="6325" sId="1">
    <nc r="C470">
      <v>410</v>
    </nc>
  </rcc>
  <rcc rId="6326" sId="1">
    <nc r="B471" t="inlineStr">
      <is>
        <t>27 0 00 83610</t>
      </is>
    </nc>
  </rcc>
  <rcc rId="6327" sId="1">
    <nc r="C471">
      <v>414</v>
    </nc>
  </rcc>
  <rcc rId="6328" sId="1" numFmtId="34">
    <nc r="D471">
      <v>300000</v>
    </nc>
  </rcc>
  <rcc rId="6329" sId="1" numFmtId="34">
    <nc r="E471">
      <v>0</v>
    </nc>
  </rcc>
  <rcc rId="6330" sId="1" numFmtId="34">
    <nc r="F471">
      <v>0</v>
    </nc>
  </rcc>
  <rfmt sheetId="1" sqref="A463:F467">
    <dxf>
      <fill>
        <patternFill patternType="none">
          <bgColor auto="1"/>
        </patternFill>
      </fill>
    </dxf>
  </rfmt>
  <rrc rId="6331" sId="1" ref="A469:XFD469" action="insertRow"/>
  <rcc rId="6332" sId="1">
    <nc r="A469" t="inlineStr">
      <is>
        <t>Мероприятия по организации водоснабжения населения и водоотведения</t>
      </is>
    </nc>
  </rcc>
  <rfmt sheetId="1" sqref="A469" start="0" length="2147483647">
    <dxf>
      <font>
        <b val="0"/>
      </font>
    </dxf>
  </rfmt>
  <rfmt sheetId="1" sqref="A469" start="0" length="2147483647">
    <dxf>
      <font>
        <i val="0"/>
      </font>
    </dxf>
  </rfmt>
  <rcc rId="6333" sId="1">
    <nc r="B469" t="inlineStr">
      <is>
        <t>27 0 00 83610</t>
      </is>
    </nc>
  </rcc>
  <rfmt sheetId="1" sqref="B469" start="0" length="2147483647">
    <dxf>
      <font>
        <b val="0"/>
      </font>
    </dxf>
  </rfmt>
  <rfmt sheetId="1" sqref="B469" start="0" length="2147483647">
    <dxf>
      <font>
        <i val="0"/>
      </font>
    </dxf>
  </rfmt>
  <rcc rId="6334" sId="1">
    <nc r="D469">
      <f>D470</f>
    </nc>
  </rcc>
  <rcc rId="6335" sId="1">
    <nc r="D468">
      <f>D469</f>
    </nc>
  </rcc>
  <rcc rId="6336" sId="1">
    <nc r="E468">
      <f>E469</f>
    </nc>
  </rcc>
  <rcc rId="6337" sId="1">
    <nc r="E469">
      <f>E470</f>
    </nc>
  </rcc>
  <rcc rId="6338" sId="1">
    <nc r="F468">
      <f>F469</f>
    </nc>
  </rcc>
  <rcc rId="6339" sId="1">
    <nc r="F469">
      <f>F470</f>
    </nc>
  </rcc>
  <rfmt sheetId="1" sqref="D469" start="0" length="2147483647">
    <dxf>
      <font>
        <b val="0"/>
      </font>
    </dxf>
  </rfmt>
  <rfmt sheetId="1" sqref="D469" start="0" length="2147483647">
    <dxf>
      <font>
        <i val="0"/>
      </font>
    </dxf>
  </rfmt>
  <rcc rId="6340" sId="1">
    <oc r="D13">
      <f>D31+D220+D247+D270+D275+D290+D295+D301+D307+D364+D388+D426++D435++D191+D19+D14+D436+D402+D412+D369+D374+D441+D463</f>
    </oc>
    <nc r="D13">
      <f>D31+D220+D247+D270+D275+D290+D295+D301+D307+D364+D388+D426++D435++D191+D19+D14+D436+D402+D412+D369+D374+D441+D463+D468</f>
    </nc>
  </rcc>
  <rcc rId="6341" sId="1">
    <oc r="E13">
      <f>E31+E220+E247+E270+E275+E290+E295+E301+E307+E364+E388+E426++E435++E191+E19+E14+E436+E402+E412+E369+E374+E441+E463</f>
    </oc>
    <nc r="E13">
      <f>E31+E220+E247+E270+E275+E290+E295+E301+E307+E364+E388+E426++E435++E191+E19+E14+E436+E402+E412+E369+E374+E441+E463+E468</f>
    </nc>
  </rcc>
  <rcc rId="6342" sId="1">
    <oc r="F13">
      <f>F31+F220+F247+F270+F275+F290+F295+F301+F307+F364+F388+F426++F435++F191+F19+F14+F436+F402+F412+F369+F374+F441+F463</f>
    </oc>
    <nc r="F13">
      <f>F31+F220+F247+F270+F275+F290+F295+F301+F307+F364+F388+F426++F435++F191+F19+F14+F436+F402+F412+F369+F374+F441+F463+F468</f>
    </nc>
  </rcc>
  <rfmt sheetId="1" sqref="A468:F472">
    <dxf>
      <fill>
        <patternFill patternType="none">
          <bgColor auto="1"/>
        </patternFill>
      </fill>
    </dxf>
  </rfmt>
  <rcc rId="6343" sId="1" numFmtId="34">
    <oc r="D478">
      <v>2421459.6</v>
    </oc>
    <nc r="D478">
      <v>2445692.7400000002</v>
    </nc>
  </rcc>
  <rcc rId="6344" sId="1" numFmtId="34">
    <oc r="E478">
      <v>2421459.6</v>
    </oc>
    <nc r="E478">
      <v>2445692.7400000002</v>
    </nc>
  </rcc>
  <rcc rId="6345" sId="1" numFmtId="34">
    <oc r="F478">
      <v>2445674.2000000002</v>
    </oc>
    <nc r="F478">
      <v>2470149.67</v>
    </nc>
  </rcc>
  <rcc rId="6346" sId="1" numFmtId="34">
    <oc r="D479">
      <v>731280.8</v>
    </oc>
    <nc r="D479">
      <v>738599.21</v>
    </nc>
  </rcc>
  <rcc rId="6347" sId="1" numFmtId="34">
    <oc r="E479">
      <v>731280.8</v>
    </oc>
    <nc r="E479">
      <v>738599.21</v>
    </nc>
  </rcc>
  <rcc rId="6348" sId="1" numFmtId="34">
    <oc r="F479">
      <v>738593.61</v>
    </oc>
    <nc r="F479">
      <v>745985.2</v>
    </nc>
  </rcc>
  <rfmt sheetId="1" sqref="A475:F479">
    <dxf>
      <fill>
        <patternFill patternType="none">
          <bgColor auto="1"/>
        </patternFill>
      </fill>
    </dxf>
  </rfmt>
  <rcc rId="6349" sId="1" numFmtId="34">
    <oc r="D485">
      <f>994070.79+166161.24</f>
    </oc>
    <nc r="D485">
      <v>1956535.24</v>
    </nc>
  </rcc>
  <rcc rId="6350" sId="1" numFmtId="34">
    <oc r="E485">
      <v>1937163.6</v>
    </oc>
    <nc r="E485">
      <v>1976100.59</v>
    </nc>
  </rcc>
  <rcc rId="6351" sId="1" numFmtId="34">
    <oc r="F485">
      <v>1956535.24</v>
    </oc>
    <nc r="F485">
      <v>1995861.6</v>
    </nc>
  </rcc>
  <rcc rId="6352" sId="1" numFmtId="34">
    <oc r="D486">
      <f>300209.38+50180.7</f>
    </oc>
    <nc r="D486">
      <v>590873.64</v>
    </nc>
  </rcc>
  <rcc rId="6353" sId="1" numFmtId="34">
    <oc r="E486">
      <v>585023.41</v>
    </oc>
    <nc r="E486">
      <v>596782.38</v>
    </nc>
  </rcc>
  <rcc rId="6354" sId="1" numFmtId="34">
    <oc r="F486">
      <v>590873.64</v>
    </oc>
    <nc r="F486">
      <v>602750.19999999995</v>
    </nc>
  </rcc>
  <rcc rId="6355" sId="1" numFmtId="34">
    <oc r="D491">
      <f>3699216.81-166161.24-608712.36</f>
    </oc>
    <nc r="D491">
      <v>1993912.44</v>
    </nc>
  </rcc>
  <rcc rId="6356" sId="1" numFmtId="34">
    <oc r="E491">
      <v>3523917.93</v>
    </oc>
    <nc r="E491">
      <v>1993912.44</v>
    </nc>
  </rcc>
  <rcc rId="6357" sId="1" numFmtId="34">
    <oc r="F491">
      <v>3559157.11</v>
    </oc>
    <nc r="F491">
      <v>2013851.56</v>
    </nc>
  </rcc>
  <rcc rId="6358" sId="1" numFmtId="34">
    <oc r="D492">
      <f>120964.19-55632</f>
    </oc>
    <nc r="D492">
      <v>100840</v>
    </nc>
  </rcc>
  <rcc rId="6359" sId="1" numFmtId="34">
    <oc r="E492">
      <v>194080</v>
    </oc>
    <nc r="E492">
      <v>100840</v>
    </nc>
  </rcc>
  <rcc rId="6360" sId="1" numFmtId="34">
    <oc r="F492">
      <v>194080</v>
    </oc>
    <nc r="F492">
      <v>100840</v>
    </nc>
  </rcc>
  <rcc rId="6361" sId="1" numFmtId="34">
    <oc r="D493">
      <f>80000+55632</f>
    </oc>
    <nc r="D493">
      <v>100000</v>
    </nc>
  </rcc>
  <rcc rId="6362" sId="1" numFmtId="34">
    <oc r="E493">
      <v>80000</v>
    </oc>
    <nc r="E493">
      <v>100000</v>
    </nc>
  </rcc>
  <rcc rId="6363" sId="1" numFmtId="34">
    <oc r="F493">
      <v>80000</v>
    </oc>
    <nc r="F493">
      <v>100000</v>
    </nc>
  </rcc>
  <rcc rId="6364" sId="1" numFmtId="34">
    <oc r="D494">
      <f>1117163.47-50180.7-183831.13</f>
    </oc>
    <nc r="D494">
      <v>602161.56000000006</v>
    </nc>
  </rcc>
  <rcc rId="6365" sId="1" numFmtId="34">
    <oc r="E494">
      <v>1064223.21</v>
    </oc>
    <nc r="E494">
      <v>602161.56000000006</v>
    </nc>
  </rcc>
  <rcc rId="6366" sId="1" numFmtId="34">
    <oc r="F494">
      <v>1074865.44</v>
    </oc>
    <nc r="F494">
      <v>608183.18000000005</v>
    </nc>
  </rcc>
  <rcc rId="6367" sId="1" numFmtId="34">
    <oc r="D497">
      <v>457078.15</v>
    </oc>
    <nc r="D497">
      <v>457200.68</v>
    </nc>
  </rcc>
  <rcc rId="6368" sId="1" numFmtId="34">
    <oc r="E497">
      <v>457078.15</v>
    </oc>
    <nc r="E497">
      <v>457200.68</v>
    </nc>
  </rcc>
  <rcc rId="6369" sId="1" numFmtId="34">
    <oc r="F497">
      <v>457078.15</v>
    </oc>
    <nc r="F497">
      <v>457200.68</v>
    </nc>
  </rcc>
  <rfmt sheetId="1" sqref="A480:F497">
    <dxf>
      <fill>
        <patternFill patternType="none">
          <bgColor auto="1"/>
        </patternFill>
      </fill>
    </dxf>
  </rfmt>
  <rcc rId="6370" sId="1" numFmtId="34">
    <oc r="D503">
      <f>886257.6</f>
    </oc>
    <nc r="D503">
      <v>895120.18</v>
    </nc>
  </rcc>
  <rcc rId="6371" sId="1" numFmtId="34">
    <oc r="E503">
      <v>886257.6</v>
    </oc>
    <nc r="E503">
      <v>895120.18</v>
    </nc>
  </rcc>
  <rcc rId="6372" sId="1" numFmtId="34">
    <oc r="F503">
      <v>895120.18</v>
    </oc>
    <nc r="F503">
      <v>904071.38</v>
    </nc>
  </rcc>
  <rcc rId="6373" sId="1" numFmtId="34">
    <oc r="D504">
      <v>267649.8</v>
    </oc>
    <nc r="D504">
      <v>270326.28999999998</v>
    </nc>
  </rcc>
  <rcc rId="6374" sId="1" numFmtId="34">
    <oc r="E504">
      <v>267649.8</v>
    </oc>
    <nc r="E504">
      <v>270326.28999999998</v>
    </nc>
  </rcc>
  <rcc rId="6375" sId="1" numFmtId="34">
    <oc r="F504">
      <v>270326.3</v>
    </oc>
    <nc r="F504">
      <v>273029.55</v>
    </nc>
  </rcc>
  <rcc rId="6376" sId="1" numFmtId="34">
    <oc r="D509">
      <v>662217.15</v>
    </oc>
    <nc r="D509">
      <v>668839.31999999995</v>
    </nc>
  </rcc>
  <rcc rId="6377" sId="1" numFmtId="34">
    <oc r="E509">
      <v>662217.15</v>
    </oc>
    <nc r="E509">
      <v>668839.31999999995</v>
    </nc>
  </rcc>
  <rcc rId="6378" sId="1" numFmtId="34">
    <oc r="F509">
      <v>668839.31999999995</v>
    </oc>
    <nc r="F509">
      <v>675527.71</v>
    </nc>
  </rcc>
  <rcc rId="6379" sId="1" numFmtId="34">
    <oc r="E510">
      <v>46000</v>
    </oc>
    <nc r="E510">
      <v>51400</v>
    </nc>
  </rcc>
  <rcc rId="6380" sId="1" numFmtId="34">
    <oc r="D511">
      <v>199989.58</v>
    </oc>
    <nc r="D511">
      <v>201989.48</v>
    </nc>
  </rcc>
  <rcc rId="6381" sId="1" numFmtId="34">
    <oc r="E511">
      <v>199989.58</v>
    </oc>
    <nc r="E511">
      <v>201989.48</v>
    </nc>
  </rcc>
  <rcc rId="6382" sId="1" numFmtId="34">
    <oc r="F511">
      <v>201989.48</v>
    </oc>
    <nc r="F511">
      <v>204009.37</v>
    </nc>
  </rcc>
  <rcc rId="6383" sId="1" numFmtId="34">
    <oc r="D514">
      <v>53200</v>
    </oc>
    <nc r="D514">
      <v>50200</v>
    </nc>
  </rcc>
  <rcc rId="6384" sId="1" numFmtId="34">
    <oc r="F514">
      <v>66204</v>
    </oc>
    <nc r="F514">
      <v>95858</v>
    </nc>
  </rcc>
  <rrc rId="6385" sId="1" ref="A515:XFD517" action="insertRow"/>
  <rcc rId="6386" sId="1" odxf="1" dxf="1">
    <nc r="A515" t="inlineStr">
      <is>
        <t>Закупка товаров, работ и услуг для обеспечения государственных (муниципальных) нужд</t>
      </is>
    </nc>
    <odxf>
      <border outline="0">
        <bottom/>
      </border>
    </odxf>
    <ndxf>
      <border outline="0">
        <bottom style="thin">
          <color indexed="64"/>
        </bottom>
      </border>
    </ndxf>
  </rcc>
  <rcc rId="6387" sId="1">
    <nc r="B515" t="inlineStr">
      <is>
        <t>53 2 00 80010</t>
      </is>
    </nc>
  </rcc>
  <rcc rId="6388" sId="1">
    <nc r="C515">
      <v>200</v>
    </nc>
  </rcc>
  <rcc rId="6389" sId="1">
    <nc r="D515">
      <f>D516</f>
    </nc>
  </rcc>
  <rcc rId="6390" sId="1">
    <nc r="E515">
      <f>E516</f>
    </nc>
  </rcc>
  <rcc rId="6391" sId="1">
    <nc r="F515">
      <f>F516</f>
    </nc>
  </rcc>
  <rfmt sheetId="1" sqref="A516" start="0" length="0">
    <dxf>
      <border outline="0">
        <bottom style="thin">
          <color indexed="64"/>
        </bottom>
      </border>
    </dxf>
  </rfmt>
  <rcc rId="6392" sId="1">
    <nc r="B516" t="inlineStr">
      <is>
        <t>53 2 00 80010</t>
      </is>
    </nc>
  </rcc>
  <rcc rId="6393" sId="1">
    <nc r="D516">
      <f>D517</f>
    </nc>
  </rcc>
  <rcc rId="6394" sId="1">
    <nc r="E516">
      <f>E517</f>
    </nc>
  </rcc>
  <rcc rId="6395" sId="1">
    <nc r="F516">
      <f>F517</f>
    </nc>
  </rcc>
  <rfmt sheetId="1" sqref="A517" start="0" length="0">
    <dxf>
      <border outline="0">
        <bottom style="thin">
          <color indexed="64"/>
        </bottom>
      </border>
    </dxf>
  </rfmt>
  <rcc rId="6396" sId="1">
    <nc r="B517" t="inlineStr">
      <is>
        <t>53 2 00 80010</t>
      </is>
    </nc>
  </rcc>
  <rrc rId="6397" sId="1" ref="A515:XFD515" action="deleteRow">
    <rfmt sheetId="1" xfDxf="1" sqref="A515:XFD515" start="0" length="0">
      <dxf>
        <font>
          <name val="Times New Roman"/>
          <scheme val="none"/>
        </font>
      </dxf>
    </rfmt>
    <rcc rId="0" sId="1" dxf="1">
      <nc r="A515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15" t="inlineStr">
        <is>
          <t>53 2 00 80010</t>
        </is>
      </nc>
      <ndxf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5">
        <v>200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15">
        <f>D516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15">
        <f>E516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15">
        <f>F516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5" start="0" length="0">
      <dxf>
        <fill>
          <patternFill patternType="solid">
            <bgColor theme="0"/>
          </patternFill>
        </fill>
      </dxf>
    </rfmt>
    <rfmt sheetId="1" sqref="H515" start="0" length="0">
      <dxf>
        <fill>
          <patternFill patternType="solid">
            <bgColor theme="0"/>
          </patternFill>
        </fill>
      </dxf>
    </rfmt>
    <rfmt sheetId="1" sqref="I515" start="0" length="0">
      <dxf>
        <fill>
          <patternFill patternType="solid">
            <bgColor theme="0"/>
          </patternFill>
        </fill>
      </dxf>
    </rfmt>
    <rfmt sheetId="1" sqref="J515" start="0" length="0">
      <dxf>
        <fill>
          <patternFill patternType="solid">
            <bgColor theme="0"/>
          </patternFill>
        </fill>
      </dxf>
    </rfmt>
  </rrc>
  <rcc rId="6398" sId="1" odxf="1" dxf="1">
    <nc r="A515" t="inlineStr">
      <is>
        <t>Иные бюджетные ассигнования</t>
      </is>
    </nc>
    <ndxf>
      <fill>
        <patternFill patternType="none">
          <bgColor indexed="65"/>
        </patternFill>
      </fill>
    </ndxf>
  </rcc>
  <rcc rId="6399" sId="1" odxf="1" dxf="1">
    <nc r="A516" t="inlineStr">
      <is>
        <t>Уплата налогов, сборов и иных платежей</t>
      </is>
    </nc>
    <ndxf>
      <fill>
        <patternFill patternType="none">
          <bgColor indexed="65"/>
        </patternFill>
      </fill>
    </ndxf>
  </rcc>
  <rcc rId="6400" sId="1" odxf="1" dxf="1">
    <nc r="C515">
      <v>800</v>
    </nc>
    <ndxf>
      <fill>
        <patternFill patternType="none">
          <bgColor indexed="65"/>
        </patternFill>
      </fill>
    </ndxf>
  </rcc>
  <rcc rId="6401" sId="1" odxf="1" dxf="1">
    <nc r="C516">
      <v>850</v>
    </nc>
    <ndxf>
      <fill>
        <patternFill patternType="none">
          <bgColor indexed="65"/>
        </patternFill>
      </fill>
    </ndxf>
  </rcc>
  <rcc rId="6402" sId="1" numFmtId="34">
    <nc r="D516">
      <v>3000</v>
    </nc>
  </rcc>
  <rcc rId="6403" sId="1" numFmtId="34">
    <nc r="E516">
      <v>3000</v>
    </nc>
  </rcc>
  <rcc rId="6404" sId="1" numFmtId="34">
    <nc r="F516">
      <v>3000</v>
    </nc>
  </rcc>
  <rcc rId="6405" sId="1">
    <oc r="D506">
      <f>D508+D513</f>
    </oc>
    <nc r="D506">
      <f>D508+D513+D515</f>
    </nc>
  </rcc>
  <rcc rId="6406" sId="1">
    <oc r="E506">
      <f>E508+E513</f>
    </oc>
    <nc r="E506">
      <f>E508+E513+E515</f>
    </nc>
  </rcc>
  <rcc rId="6407" sId="1">
    <oc r="F506">
      <f>F508+F513</f>
    </oc>
    <nc r="F506">
      <f>F508+F513+F515</f>
    </nc>
  </rcc>
  <rcc rId="6408" sId="1" numFmtId="34">
    <oc r="E514">
      <v>53200</v>
    </oc>
    <nc r="E514">
      <v>63204</v>
    </nc>
  </rcc>
  <rfmt sheetId="1" sqref="A498:F516">
    <dxf>
      <fill>
        <patternFill patternType="none">
          <bgColor auto="1"/>
        </patternFill>
      </fill>
    </dxf>
  </rfmt>
  <rcc rId="6409" sId="1" numFmtId="34">
    <oc r="D522">
      <v>5186.05</v>
    </oc>
    <nc r="D522">
      <v>6104.51</v>
    </nc>
  </rcc>
  <rcc rId="6410" sId="1" numFmtId="34">
    <oc r="E522">
      <v>5385.9</v>
    </oc>
    <nc r="E522">
      <v>194414.92</v>
    </nc>
  </rcc>
  <rcc rId="6411" sId="1" numFmtId="34">
    <oc r="F522">
      <v>173249.40000000002</v>
    </oc>
    <nc r="F522">
      <v>6044.77</v>
    </nc>
  </rcc>
  <rfmt sheetId="1" sqref="A519:F526">
    <dxf>
      <fill>
        <patternFill patternType="none">
          <bgColor auto="1"/>
        </patternFill>
      </fill>
    </dxf>
  </rfmt>
  <rcc rId="6412" sId="1" numFmtId="34">
    <oc r="D531">
      <v>1247946.2</v>
    </oc>
    <nc r="D531">
      <v>1260425.6599999999</v>
    </nc>
  </rcc>
  <rcc rId="6413" sId="1" numFmtId="34">
    <oc r="E531">
      <v>1260425.6599999999</v>
    </oc>
    <nc r="E531">
      <v>1310842.69</v>
    </nc>
  </rcc>
  <rcc rId="6414" sId="1" numFmtId="34">
    <oc r="F531">
      <v>1310842.69</v>
    </oc>
    <nc r="F531">
      <v>1363281.39</v>
    </nc>
  </rcc>
  <rcc rId="6415" sId="1" numFmtId="34">
    <oc r="D533">
      <v>376879.75</v>
    </oc>
    <nc r="D533">
      <v>380648.55</v>
    </nc>
  </rcc>
  <rcc rId="6416" sId="1" numFmtId="34">
    <oc r="E533">
      <v>380648.55</v>
    </oc>
    <nc r="E533">
      <v>395874.49237999995</v>
    </nc>
  </rcc>
  <rcc rId="6417" sId="1" numFmtId="34">
    <oc r="F533">
      <v>395874.49</v>
    </oc>
    <nc r="F533">
      <v>411710.97977999994</v>
    </nc>
  </rcc>
  <rcc rId="6418" sId="1" numFmtId="34">
    <oc r="D540">
      <v>623973.1</v>
    </oc>
    <nc r="D540">
      <v>630212.82999999996</v>
    </nc>
  </rcc>
  <rcc rId="6419" sId="1" numFmtId="34">
    <oc r="E540">
      <v>630212.82999999996</v>
    </oc>
    <nc r="E540">
      <v>655421.34</v>
    </nc>
  </rcc>
  <rcc rId="6420" sId="1" numFmtId="34">
    <oc r="F540">
      <v>655421.34</v>
    </oc>
    <nc r="F540">
      <v>681640.69</v>
    </nc>
  </rcc>
  <rcc rId="6421" sId="1" numFmtId="34">
    <oc r="D542">
      <v>188439.88</v>
    </oc>
    <nc r="D542">
      <v>190324.27</v>
    </nc>
  </rcc>
  <rcc rId="6422" sId="1" numFmtId="34">
    <oc r="E542">
      <v>190324.28</v>
    </oc>
    <nc r="E542">
      <v>197937.24</v>
    </nc>
  </rcc>
  <rcc rId="6423" sId="1" numFmtId="34">
    <oc r="F542">
      <v>197937.25</v>
    </oc>
    <nc r="F542">
      <v>205855.49</v>
    </nc>
  </rcc>
  <rrc rId="6424" sId="1" ref="A546:XFD546" action="deleteRow">
    <undo index="7" exp="ref" v="1" dr="F546" r="F518" sId="1"/>
    <undo index="7" exp="ref" v="1" dr="E546" r="E518" sId="1"/>
    <undo index="7" exp="ref" v="1" dr="D546" r="D518" sId="1"/>
    <rfmt sheetId="1" xfDxf="1" sqref="A546:XFD546" start="0" length="0">
      <dxf>
        <font>
          <name val="Times New Roman"/>
          <scheme val="none"/>
        </font>
      </dxf>
    </rfmt>
    <rcc rId="0" sId="1" dxf="1">
      <nc r="A546" t="inlineStr">
        <is>
      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46" t="inlineStr">
        <is>
          <t>54 1 00 Э4790</t>
        </is>
      </nc>
      <ndxf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46" start="0" length="0">
      <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546">
        <f>D547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46">
        <f>E547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46">
        <f>F547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46" start="0" length="0">
      <dxf>
        <fill>
          <patternFill patternType="solid">
            <bgColor theme="0"/>
          </patternFill>
        </fill>
      </dxf>
    </rfmt>
    <rfmt sheetId="1" sqref="H546" start="0" length="0">
      <dxf>
        <fill>
          <patternFill patternType="solid">
            <bgColor theme="0"/>
          </patternFill>
        </fill>
      </dxf>
    </rfmt>
    <rfmt sheetId="1" sqref="I546" start="0" length="0">
      <dxf>
        <fill>
          <patternFill patternType="solid">
            <bgColor theme="0"/>
          </patternFill>
        </fill>
      </dxf>
    </rfmt>
    <rfmt sheetId="1" sqref="J546" start="0" length="0">
      <dxf>
        <fill>
          <patternFill patternType="solid">
            <bgColor theme="0"/>
          </patternFill>
        </fill>
      </dxf>
    </rfmt>
  </rrc>
  <rrc rId="6425" sId="1" ref="A546:XFD546" action="deleteRow">
    <rfmt sheetId="1" xfDxf="1" sqref="A546:XFD546" start="0" length="0">
      <dxf>
        <font>
          <name val="Times New Roman"/>
          <scheme val="none"/>
        </font>
      </dxf>
    </rfmt>
    <rcc rId="0" sId="1" dxf="1">
      <nc r="A546" t="inlineStr">
        <is>
  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46" t="inlineStr">
        <is>
          <t>54 1 00 Э4790</t>
        </is>
      </nc>
      <ndxf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6">
        <v>100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46">
        <f>D547+D548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46">
        <f>E547+E548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46">
        <f>F547+F548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46" start="0" length="0">
      <dxf>
        <fill>
          <patternFill patternType="solid">
            <bgColor theme="0"/>
          </patternFill>
        </fill>
      </dxf>
    </rfmt>
    <rfmt sheetId="1" sqref="H546" start="0" length="0">
      <dxf>
        <fill>
          <patternFill patternType="solid">
            <bgColor theme="0"/>
          </patternFill>
        </fill>
      </dxf>
    </rfmt>
    <rfmt sheetId="1" sqref="I546" start="0" length="0">
      <dxf>
        <fill>
          <patternFill patternType="solid">
            <bgColor theme="0"/>
          </patternFill>
        </fill>
      </dxf>
    </rfmt>
    <rfmt sheetId="1" sqref="J546" start="0" length="0">
      <dxf>
        <fill>
          <patternFill patternType="solid">
            <bgColor theme="0"/>
          </patternFill>
        </fill>
      </dxf>
    </rfmt>
  </rrc>
  <rrc rId="6426" sId="1" ref="A546:XFD546" action="deleteRow">
    <rfmt sheetId="1" xfDxf="1" sqref="A546:XFD546" start="0" length="0">
      <dxf>
        <font>
          <name val="Times New Roman"/>
          <scheme val="none"/>
        </font>
      </dxf>
    </rfmt>
    <rcc rId="0" sId="1" dxf="1">
      <nc r="A546" t="inlineStr">
        <is>
          <t>Иные выплаты персоналу государственных (муниципальных) органов, за исключением фонда оплаты труда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46" t="inlineStr">
        <is>
          <t>54 1 00 Э4790</t>
        </is>
      </nc>
      <ndxf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6">
        <v>122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546">
        <v>574717.56999999995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546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46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46" start="0" length="0">
      <dxf>
        <fill>
          <patternFill patternType="solid">
            <bgColor theme="0"/>
          </patternFill>
        </fill>
      </dxf>
    </rfmt>
    <rfmt sheetId="1" sqref="H546" start="0" length="0">
      <dxf>
        <fill>
          <patternFill patternType="solid">
            <bgColor theme="0"/>
          </patternFill>
        </fill>
      </dxf>
    </rfmt>
    <rfmt sheetId="1" sqref="I546" start="0" length="0">
      <dxf>
        <fill>
          <patternFill patternType="solid">
            <bgColor theme="0"/>
          </patternFill>
        </fill>
      </dxf>
    </rfmt>
    <rfmt sheetId="1" sqref="J546" start="0" length="0">
      <dxf>
        <fill>
          <patternFill patternType="solid">
            <bgColor theme="0"/>
          </patternFill>
        </fill>
      </dxf>
    </rfmt>
  </rrc>
  <rrc rId="6427" sId="1" ref="A546:XFD546" action="deleteRow">
    <rfmt sheetId="1" xfDxf="1" sqref="A546:XFD546" start="0" length="0">
      <dxf>
        <font>
          <name val="Times New Roman"/>
          <scheme val="none"/>
        </font>
      </dxf>
    </rfmt>
    <rcc rId="0" sId="1" dxf="1">
      <nc r="A54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46" t="inlineStr">
        <is>
          <t>54 1 00 Э4790</t>
        </is>
      </nc>
      <ndxf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6">
        <v>129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546">
        <v>173564.71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546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46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46" start="0" length="0">
      <dxf>
        <fill>
          <patternFill patternType="solid">
            <bgColor theme="0"/>
          </patternFill>
        </fill>
      </dxf>
    </rfmt>
    <rfmt sheetId="1" sqref="H546" start="0" length="0">
      <dxf>
        <fill>
          <patternFill patternType="solid">
            <bgColor theme="0"/>
          </patternFill>
        </fill>
      </dxf>
    </rfmt>
    <rfmt sheetId="1" sqref="I546" start="0" length="0">
      <dxf>
        <fill>
          <patternFill patternType="solid">
            <bgColor theme="0"/>
          </patternFill>
        </fill>
      </dxf>
    </rfmt>
    <rfmt sheetId="1" sqref="J546" start="0" length="0">
      <dxf>
        <fill>
          <patternFill patternType="solid">
            <bgColor theme="0"/>
          </patternFill>
        </fill>
      </dxf>
    </rfmt>
  </rrc>
  <rcc rId="6428" sId="1" numFmtId="34">
    <oc r="D557">
      <v>0</v>
    </oc>
    <nc r="D557">
      <v>150000</v>
    </nc>
  </rcc>
  <rcc rId="6429" sId="1" numFmtId="34">
    <oc r="E557">
      <v>400000</v>
    </oc>
    <nc r="E557">
      <v>150000</v>
    </nc>
  </rcc>
  <rcc rId="6430" sId="1" numFmtId="34">
    <oc r="F557">
      <v>400000</v>
    </oc>
    <nc r="F557">
      <v>150000</v>
    </nc>
  </rcc>
  <rcc rId="6431" sId="1" numFmtId="34">
    <oc r="D549">
      <f>95677615.83-396451.39</f>
    </oc>
    <nc r="D549">
      <v>92620498.310000002</v>
    </nc>
  </rcc>
  <rcc rId="6432" sId="1" numFmtId="34">
    <oc r="E549">
      <f>72596636.05+22381352.55</f>
    </oc>
    <nc r="E549">
      <v>92620498.310000002</v>
    </nc>
  </rcc>
  <rcc rId="6433" sId="1" numFmtId="34">
    <oc r="F549">
      <f>73322602.41+22605166.08</f>
    </oc>
    <nc r="F549">
      <v>93546703.290000007</v>
    </nc>
  </rcc>
  <rcc rId="6434" sId="1" numFmtId="34">
    <oc r="D550">
      <f>1196994.24+376200+144590.04-4000+36814.6-100000</f>
    </oc>
    <nc r="D550">
      <v>1521945.5</v>
    </nc>
  </rcc>
  <rcc rId="6435" sId="1" numFmtId="34">
    <oc r="E550">
      <f>1800000+418000</f>
    </oc>
    <nc r="E550">
      <v>1521945.5</v>
    </nc>
  </rcc>
  <rcc rId="6436" sId="1" numFmtId="34">
    <oc r="F550">
      <f>1800000+418000</f>
    </oc>
    <nc r="F550">
      <v>1521945.5</v>
    </nc>
  </rcc>
  <rcc rId="6437" sId="1" numFmtId="34">
    <oc r="D551">
      <f>28894640-119728.31</f>
    </oc>
    <nc r="D551">
      <v>27971390.5</v>
    </nc>
  </rcc>
  <rcc rId="6438" sId="1" numFmtId="34">
    <oc r="E551">
      <f>21924184.09+6759168.47</f>
    </oc>
    <nc r="E551">
      <v>27971390.5</v>
    </nc>
  </rcc>
  <rcc rId="6439" sId="1" numFmtId="34">
    <oc r="F551">
      <f>22143425.93+6826760.15</f>
    </oc>
    <nc r="F551">
      <v>28251104.410000004</v>
    </nc>
  </rcc>
  <rcc rId="6440" sId="1" numFmtId="34">
    <oc r="D554">
      <f>8457235.47+452891.15+307495-5000-50000-94296</f>
    </oc>
    <nc r="D554">
      <v>8374132.8799999999</v>
    </nc>
  </rcc>
  <rcc rId="6441" sId="1" numFmtId="34">
    <oc r="E554">
      <f>6278755.37+2129000+150000</f>
    </oc>
    <nc r="E554">
      <v>8374132.8799999999</v>
    </nc>
  </rcc>
  <rcc rId="6442" sId="1" numFmtId="34">
    <oc r="F554">
      <f>6278755.37+2129000+150000</f>
    </oc>
    <nc r="F554">
      <v>8374132.8799999999</v>
    </nc>
  </rcc>
  <rcc rId="6443" sId="1" numFmtId="34">
    <oc r="D558">
      <f>16123.04-500.74</f>
    </oc>
    <nc r="D558">
      <v>254000</v>
    </nc>
  </rcc>
  <rcc rId="6444" sId="1" numFmtId="34">
    <oc r="E558">
      <f>600000+5000</f>
    </oc>
    <nc r="E558">
      <v>255000</v>
    </nc>
  </rcc>
  <rcc rId="6445" sId="1" numFmtId="34">
    <oc r="F558">
      <f>600000+5000</f>
    </oc>
    <nc r="F558">
      <v>255000</v>
    </nc>
  </rcc>
  <rcc rId="6446" sId="1">
    <oc r="D518">
      <f>D546+D527+D519+D523+#REF!</f>
    </oc>
    <nc r="D518">
      <f>D546+D527+D519+D523</f>
    </nc>
  </rcc>
  <rcc rId="6447" sId="1">
    <oc r="E518">
      <f>E546+E527+E519+E523+#REF!</f>
    </oc>
    <nc r="E518">
      <f>E546+E527+E519+E523</f>
    </nc>
  </rcc>
  <rcc rId="6448" sId="1">
    <oc r="F518">
      <f>F546+F527+F519+F523+#REF!</f>
    </oc>
    <nc r="F518">
      <f>F546+F527+F519+F523</f>
    </nc>
  </rcc>
  <rfmt sheetId="1" sqref="A517:F518">
    <dxf>
      <fill>
        <patternFill patternType="none">
          <bgColor auto="1"/>
        </patternFill>
      </fill>
    </dxf>
  </rfmt>
  <rfmt sheetId="1" sqref="A527:F558">
    <dxf>
      <fill>
        <patternFill patternType="none">
          <bgColor auto="1"/>
        </patternFill>
      </fill>
    </dxf>
  </rfmt>
  <rcc rId="6449" sId="1" numFmtId="34">
    <oc r="D565">
      <f>6126197.37-5960960.09</f>
    </oc>
    <nc r="D565">
      <v>0</v>
    </nc>
  </rcc>
  <rcc rId="6450" sId="1" numFmtId="34">
    <oc r="D564">
      <f>9233378.3+5960960.09</f>
    </oc>
    <nc r="D564">
      <v>0</v>
    </nc>
  </rcc>
  <rcc rId="6451" sId="1">
    <oc r="D573">
      <f>460000+140000+50000+20000</f>
    </oc>
    <nc r="D573"/>
  </rcc>
  <rcc rId="6452" sId="1" numFmtId="34">
    <oc r="D571">
      <v>717424</v>
    </oc>
    <nc r="D571">
      <v>0</v>
    </nc>
  </rcc>
  <rrc rId="6453" sId="1" ref="A561:XFD561" action="deleteRow">
    <undo index="0" exp="ref" v="1" dr="F561" r="F560" sId="1"/>
    <undo index="0" exp="ref" v="1" dr="E561" r="E560" sId="1"/>
    <undo index="0" exp="ref" v="1" dr="D561" r="D560" sId="1"/>
    <rfmt sheetId="1" xfDxf="1" sqref="A561:XFD561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561" t="inlineStr">
        <is>
          <t>Резервный фонд Правительства Архангельской области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561" t="inlineStr">
        <is>
          <t>55 0 00 71400</t>
        </is>
      </nc>
      <ndxf>
        <font>
          <i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561" start="0" length="0">
      <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561">
        <f>D562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61">
        <f>E562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61">
        <f>F562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1" start="0" length="0">
      <dxf>
        <fill>
          <patternFill patternType="solid">
            <bgColor theme="0"/>
          </patternFill>
        </fill>
      </dxf>
    </rfmt>
    <rfmt sheetId="1" sqref="H561" start="0" length="0">
      <dxf>
        <fill>
          <patternFill patternType="solid">
            <bgColor theme="0"/>
          </patternFill>
        </fill>
      </dxf>
    </rfmt>
    <rfmt sheetId="1" sqref="I561" start="0" length="0">
      <dxf>
        <fill>
          <patternFill patternType="solid">
            <bgColor theme="0"/>
          </patternFill>
        </fill>
      </dxf>
    </rfmt>
    <rfmt sheetId="1" sqref="J561" start="0" length="0">
      <dxf>
        <fill>
          <patternFill patternType="solid">
            <bgColor theme="0"/>
          </patternFill>
        </fill>
      </dxf>
    </rfmt>
  </rrc>
  <rrc rId="6454" sId="1" ref="A561:XFD561" action="deleteRow">
    <rfmt sheetId="1" xfDxf="1" sqref="A561:XFD561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561" t="inlineStr">
        <is>
          <t>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561" t="inlineStr">
        <is>
          <t>55 0 00 71400</t>
        </is>
      </nc>
      <ndxf>
        <font>
          <i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561">
        <v>200</v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61">
        <f>D562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61">
        <f>E562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61">
        <f>F562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1" start="0" length="0">
      <dxf>
        <fill>
          <patternFill patternType="solid">
            <bgColor theme="0"/>
          </patternFill>
        </fill>
      </dxf>
    </rfmt>
    <rfmt sheetId="1" sqref="H561" start="0" length="0">
      <dxf>
        <fill>
          <patternFill patternType="solid">
            <bgColor theme="0"/>
          </patternFill>
        </fill>
      </dxf>
    </rfmt>
    <rfmt sheetId="1" sqref="I561" start="0" length="0">
      <dxf>
        <fill>
          <patternFill patternType="solid">
            <bgColor theme="0"/>
          </patternFill>
        </fill>
      </dxf>
    </rfmt>
    <rfmt sheetId="1" sqref="J561" start="0" length="0">
      <dxf>
        <fill>
          <patternFill patternType="solid">
            <bgColor theme="0"/>
          </patternFill>
        </fill>
      </dxf>
    </rfmt>
  </rrc>
  <rrc rId="6455" sId="1" ref="A561:XFD561" action="deleteRow">
    <rfmt sheetId="1" xfDxf="1" sqref="A561:XFD561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561" t="inlineStr">
        <is>
          <t>Иные закупки товаров, 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561" t="inlineStr">
        <is>
          <t>55 0 00 71400</t>
        </is>
      </nc>
      <ndxf>
        <font>
          <i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561">
        <v>240</v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61">
        <f>D563+D562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61">
        <f>E563+E562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61">
        <f>F563+F562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1" start="0" length="0">
      <dxf>
        <fill>
          <patternFill patternType="solid">
            <bgColor theme="0"/>
          </patternFill>
        </fill>
      </dxf>
    </rfmt>
    <rfmt sheetId="1" sqref="H561" start="0" length="0">
      <dxf>
        <fill>
          <patternFill patternType="solid">
            <bgColor theme="0"/>
          </patternFill>
        </fill>
      </dxf>
    </rfmt>
    <rfmt sheetId="1" sqref="I561" start="0" length="0">
      <dxf>
        <fill>
          <patternFill patternType="solid">
            <bgColor theme="0"/>
          </patternFill>
        </fill>
      </dxf>
    </rfmt>
    <rfmt sheetId="1" sqref="J561" start="0" length="0">
      <dxf>
        <fill>
          <patternFill patternType="solid">
            <bgColor theme="0"/>
          </patternFill>
        </fill>
      </dxf>
    </rfmt>
  </rrc>
  <rrc rId="6456" sId="1" ref="A561:XFD561" action="deleteRow">
    <rfmt sheetId="1" xfDxf="1" sqref="A561:XFD561" start="0" length="0">
      <dxf>
        <font>
          <i/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561" t="inlineStr">
        <is>
          <t>Закупка товаров, работ, услуг в целях капитального
ремонта государственного (муниципального) имущества</t>
        </is>
      </nc>
      <ndxf>
        <font>
          <i val="0"/>
          <name val="Times New Roman"/>
          <scheme val="none"/>
        </font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561" t="inlineStr">
        <is>
          <t>55 0 00 71400</t>
        </is>
      </nc>
      <ndxf>
        <font>
          <i val="0"/>
          <sz val="10"/>
          <color auto="1"/>
          <name val="Times New Roman"/>
          <scheme val="none"/>
        </font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561">
        <v>243</v>
      </nc>
      <ndxf>
        <font>
          <i val="0"/>
          <sz val="10"/>
          <color auto="1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561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561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61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1" start="0" length="0">
      <dxf>
        <fill>
          <patternFill>
            <bgColor theme="0"/>
          </patternFill>
        </fill>
      </dxf>
    </rfmt>
    <rfmt sheetId="1" sqref="H561" start="0" length="0">
      <dxf>
        <fill>
          <patternFill>
            <bgColor theme="0"/>
          </patternFill>
        </fill>
      </dxf>
    </rfmt>
    <rfmt sheetId="1" sqref="I561" start="0" length="0">
      <dxf>
        <fill>
          <patternFill>
            <bgColor theme="0"/>
          </patternFill>
        </fill>
      </dxf>
    </rfmt>
    <rfmt sheetId="1" sqref="J561" start="0" length="0">
      <dxf>
        <fill>
          <patternFill>
            <bgColor theme="0"/>
          </patternFill>
        </fill>
      </dxf>
    </rfmt>
  </rrc>
  <rrc rId="6457" sId="1" ref="A561:XFD561" action="deleteRow">
    <rfmt sheetId="1" xfDxf="1" sqref="A561:XFD561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561" t="inlineStr">
        <is>
          <t>Прочая закупка товаров, работ и услуг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561" t="inlineStr">
        <is>
          <t>55 0 00 71400</t>
        </is>
      </nc>
      <ndxf>
        <font>
          <i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561">
        <v>244</v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561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561" start="0" length="0">
      <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61" start="0" length="0">
      <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1" start="0" length="0">
      <dxf>
        <fill>
          <patternFill patternType="solid">
            <bgColor theme="0"/>
          </patternFill>
        </fill>
      </dxf>
    </rfmt>
    <rfmt sheetId="1" sqref="H561" start="0" length="0">
      <dxf>
        <fill>
          <patternFill patternType="solid">
            <bgColor theme="0"/>
          </patternFill>
        </fill>
      </dxf>
    </rfmt>
    <rfmt sheetId="1" sqref="I561" start="0" length="0">
      <dxf>
        <fill>
          <patternFill patternType="solid">
            <bgColor theme="0"/>
          </patternFill>
        </fill>
      </dxf>
    </rfmt>
    <rfmt sheetId="1" sqref="J561" start="0" length="0">
      <dxf>
        <fill>
          <patternFill patternType="solid">
            <bgColor theme="0"/>
          </patternFill>
        </fill>
      </dxf>
    </rfmt>
  </rrc>
  <rrc rId="6458" sId="1" ref="A560:XFD560" action="deleteRow">
    <undo index="1" exp="ref" v="1" dr="D560" r="D559" sId="1"/>
    <rfmt sheetId="1" xfDxf="1" sqref="A560:XFD560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560" t="inlineStr">
        <is>
          <t xml:space="preserve">Резервный фонд 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560" t="inlineStr">
        <is>
          <t>55 0 00 00000</t>
        </is>
      </nc>
      <ndxf>
        <font>
          <i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560" start="0" length="0">
      <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560">
        <f>#REF!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60">
        <f>#REF!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60">
        <f>#REF!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0" start="0" length="0">
      <dxf>
        <fill>
          <patternFill patternType="solid">
            <bgColor theme="0"/>
          </patternFill>
        </fill>
      </dxf>
    </rfmt>
    <rfmt sheetId="1" sqref="H560" start="0" length="0">
      <dxf>
        <fill>
          <patternFill patternType="solid">
            <bgColor theme="0"/>
          </patternFill>
        </fill>
      </dxf>
    </rfmt>
    <rfmt sheetId="1" sqref="I560" start="0" length="0">
      <dxf>
        <fill>
          <patternFill patternType="solid">
            <bgColor theme="0"/>
          </patternFill>
        </fill>
      </dxf>
    </rfmt>
    <rfmt sheetId="1" sqref="J560" start="0" length="0">
      <dxf>
        <fill>
          <patternFill patternType="solid">
            <bgColor theme="0"/>
          </patternFill>
        </fill>
      </dxf>
    </rfmt>
  </rrc>
  <rfmt sheetId="1" sqref="D562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E562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F562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cc rId="6459" sId="1" odxf="1" dxf="1" numFmtId="34">
    <oc r="D562">
      <f>97856.79+270000-20000</f>
    </oc>
    <nc r="D562">
      <v>5491817.5899999999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fmt sheetId="1" sqref="E562" start="0" length="0">
    <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dxf>
  </rfmt>
  <rfmt sheetId="1" sqref="F562" start="0" length="0">
    <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dxf>
  </rfmt>
  <rcc rId="6460" sId="1">
    <oc r="D559">
      <f>SUM(D560+#REF!)</f>
    </oc>
    <nc r="D559">
      <f>D560</f>
    </nc>
  </rcc>
  <rfmt sheetId="1" sqref="A559:F567">
    <dxf>
      <fill>
        <patternFill patternType="none">
          <bgColor auto="1"/>
        </patternFill>
      </fill>
    </dxf>
  </rfmt>
  <rcc rId="6461" sId="1" numFmtId="34">
    <oc r="D572">
      <v>2108524.94</v>
    </oc>
    <nc r="D572">
      <v>2298325.65</v>
    </nc>
  </rcc>
  <rcc rId="6462" sId="1" numFmtId="34">
    <oc r="E572">
      <v>2310476.25</v>
    </oc>
    <nc r="E572">
      <v>2551874.04</v>
    </nc>
  </rcc>
  <rcc rId="6463" sId="1" numFmtId="34">
    <oc r="F572">
      <v>2538296.96</v>
    </oc>
    <nc r="F572">
      <v>2656774.19</v>
    </nc>
  </rcc>
  <rcc rId="6464" sId="1" numFmtId="34">
    <oc r="D573">
      <v>58640</v>
    </oc>
    <nc r="D573">
      <v>146350</v>
    </nc>
  </rcc>
  <rcc rId="6465" sId="1" numFmtId="34">
    <oc r="E573">
      <v>80000</v>
    </oc>
    <nc r="E573">
      <v>146350</v>
    </nc>
  </rcc>
  <rcc rId="6466" sId="1" numFmtId="34">
    <oc r="F573">
      <v>80000</v>
    </oc>
    <nc r="F573">
      <v>146350</v>
    </nc>
  </rcc>
  <rcc rId="6467" sId="1" numFmtId="34">
    <oc r="D574">
      <v>636810.35</v>
    </oc>
    <nc r="D574">
      <v>694094.34629999998</v>
    </nc>
  </rcc>
  <rcc rId="6468" sId="1" numFmtId="34">
    <oc r="E574">
      <v>697155.35</v>
    </oc>
    <nc r="E574">
      <v>770665.96007999999</v>
    </nc>
  </rcc>
  <rcc rId="6469" sId="1" numFmtId="34">
    <oc r="F574">
      <v>758616.24</v>
    </oc>
    <nc r="F574">
      <v>802345.80537999992</v>
    </nc>
  </rcc>
  <rcc rId="6470" sId="1" numFmtId="34">
    <oc r="D577">
      <v>90361.86</v>
    </oc>
    <nc r="D577">
      <v>244497.5</v>
    </nc>
  </rcc>
  <rcc rId="6471" sId="1" numFmtId="34">
    <oc r="E577">
      <v>109701.55</v>
    </oc>
    <nc r="E577">
      <v>244497.5</v>
    </nc>
  </rcc>
  <rcc rId="6472" sId="1" numFmtId="34">
    <oc r="F577">
      <v>126155.75</v>
    </oc>
    <nc r="F577">
      <v>244499</v>
    </nc>
  </rcc>
  <rfmt sheetId="1" sqref="A568:F577">
    <dxf>
      <fill>
        <patternFill patternType="none">
          <bgColor auto="1"/>
        </patternFill>
      </fill>
    </dxf>
  </rfmt>
  <rcc rId="6473" sId="1" numFmtId="34">
    <oc r="D582">
      <f>440000-39546.6-100000-46527.67</f>
    </oc>
    <nc r="D582">
      <v>583460</v>
    </nc>
  </rcc>
  <rcc rId="6474" sId="1" numFmtId="34">
    <oc r="E582">
      <v>700000</v>
    </oc>
    <nc r="E582">
      <v>583460</v>
    </nc>
  </rcc>
  <rcc rId="6475" sId="1" numFmtId="34">
    <oc r="F582">
      <v>700000</v>
    </oc>
    <nc r="F582">
      <v>583460</v>
    </nc>
  </rcc>
  <rcc rId="6476" sId="1" numFmtId="34">
    <oc r="D586">
      <f>681300-164134</f>
    </oc>
    <nc r="D586">
      <v>750000</v>
    </nc>
  </rcc>
  <rcc rId="6477" sId="1" numFmtId="34">
    <oc r="E586">
      <v>421300</v>
    </oc>
    <nc r="E586">
      <v>537840</v>
    </nc>
  </rcc>
  <rcc rId="6478" sId="1" numFmtId="34">
    <oc r="F586">
      <v>421300</v>
    </oc>
    <nc r="F586">
      <v>537840</v>
    </nc>
  </rcc>
  <rcc rId="6479" sId="1" numFmtId="34">
    <oc r="D587">
      <v>2414785</v>
    </oc>
    <nc r="D587">
      <v>2399185.14</v>
    </nc>
  </rcc>
  <rcc rId="6480" sId="1" numFmtId="34">
    <oc r="E587">
      <v>1748744</v>
    </oc>
    <nc r="E587">
      <v>2495152.5499999998</v>
    </nc>
  </rcc>
  <rcc rId="6481" sId="1" numFmtId="34">
    <oc r="F587">
      <v>1748744</v>
    </oc>
    <nc r="F587">
      <v>2594958.65</v>
    </nc>
  </rcc>
  <rcc rId="6482" sId="1" numFmtId="34">
    <oc r="D589">
      <v>188933.33</v>
    </oc>
    <nc r="D589">
      <v>139100</v>
    </nc>
  </rcc>
  <rcc rId="6483" sId="1" numFmtId="34">
    <oc r="E589">
      <v>124100</v>
    </oc>
    <nc r="E589">
      <v>139100</v>
    </nc>
  </rcc>
  <rcc rId="6484" sId="1" numFmtId="34">
    <oc r="F589">
      <v>124100</v>
    </oc>
    <nc r="F589">
      <v>139100</v>
    </nc>
  </rcc>
  <rfmt sheetId="1" sqref="A578:F589">
    <dxf>
      <fill>
        <patternFill patternType="none">
          <bgColor auto="1"/>
        </patternFill>
      </fill>
    </dxf>
  </rfmt>
  <rcc rId="6485" sId="1" numFmtId="34">
    <oc r="D594">
      <f>2532132.82+62731.94</f>
    </oc>
    <nc r="D594">
      <v>2620813.38</v>
    </nc>
  </rcc>
  <rcc rId="6486" sId="1" numFmtId="34">
    <oc r="E594">
      <v>2532132.8199999998</v>
    </oc>
    <nc r="E594">
      <v>2647021.5099999998</v>
    </nc>
  </rcc>
  <rcc rId="6487" sId="1" numFmtId="34">
    <oc r="F594">
      <v>2532132.8199999998</v>
    </oc>
    <nc r="F594">
      <v>2673491.73</v>
    </nc>
  </rcc>
  <rfmt sheetId="1" sqref="A590:F594">
    <dxf>
      <fill>
        <patternFill patternType="none">
          <bgColor auto="1"/>
        </patternFill>
      </fill>
    </dxf>
  </rfmt>
  <rcc rId="6488" sId="1" numFmtId="34">
    <oc r="D599">
      <f>410000+127434.02</f>
    </oc>
    <nc r="D599">
      <v>0</v>
    </nc>
  </rcc>
  <rrc rId="6489" sId="1" ref="A600:XFD600" action="deleteRow">
    <undo index="3" exp="ref" v="1" dr="F600" r="F595" sId="1"/>
    <undo index="3" exp="ref" v="1" dr="E600" r="E595" sId="1"/>
    <undo index="3" exp="ref" v="1" dr="D600" r="D595" sId="1"/>
    <rfmt sheetId="1" xfDxf="1" sqref="A600:XFD600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600" t="inlineStr">
        <is>
          <t>Реализация мероприятий по социально-экономическому развитию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0" t="inlineStr">
        <is>
          <t>59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600" start="0" length="0">
      <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600">
        <f>D602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0">
        <f>E602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0">
        <f>F602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0" start="0" length="0">
      <dxf>
        <fill>
          <patternFill patternType="solid">
            <bgColor theme="0"/>
          </patternFill>
        </fill>
      </dxf>
    </rfmt>
    <rfmt sheetId="1" sqref="H600" start="0" length="0">
      <dxf>
        <fill>
          <patternFill patternType="solid">
            <bgColor theme="0"/>
          </patternFill>
        </fill>
      </dxf>
    </rfmt>
    <rfmt sheetId="1" sqref="I600" start="0" length="0">
      <dxf>
        <fill>
          <patternFill patternType="solid">
            <bgColor theme="0"/>
          </patternFill>
        </fill>
      </dxf>
    </rfmt>
    <rfmt sheetId="1" sqref="J600" start="0" length="0">
      <dxf>
        <fill>
          <patternFill patternType="solid">
            <bgColor theme="0"/>
          </patternFill>
        </fill>
      </dxf>
    </rfmt>
  </rrc>
  <rrc rId="6490" sId="1" ref="A600:XFD600" action="deleteRow">
    <rfmt sheetId="1" xfDxf="1" sqref="A600:XFD600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600" t="inlineStr">
        <is>
          <t>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00" t="inlineStr">
        <is>
          <t>59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00">
        <v>200</v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00">
        <f>D601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0">
        <f>E601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0">
        <f>F601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0" start="0" length="0">
      <dxf>
        <fill>
          <patternFill patternType="solid">
            <bgColor theme="0"/>
          </patternFill>
        </fill>
      </dxf>
    </rfmt>
    <rfmt sheetId="1" sqref="H600" start="0" length="0">
      <dxf>
        <fill>
          <patternFill patternType="solid">
            <bgColor theme="0"/>
          </patternFill>
        </fill>
      </dxf>
    </rfmt>
    <rfmt sheetId="1" sqref="I600" start="0" length="0">
      <dxf>
        <fill>
          <patternFill patternType="solid">
            <bgColor theme="0"/>
          </patternFill>
        </fill>
      </dxf>
    </rfmt>
    <rfmt sheetId="1" sqref="J600" start="0" length="0">
      <dxf>
        <fill>
          <patternFill patternType="solid">
            <bgColor theme="0"/>
          </patternFill>
        </fill>
      </dxf>
    </rfmt>
  </rrc>
  <rrc rId="6491" sId="1" ref="A600:XFD600" action="deleteRow">
    <rfmt sheetId="1" xfDxf="1" sqref="A600:XFD600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600" t="inlineStr">
        <is>
          <t>Иные закупки товаров,работ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00" t="inlineStr">
        <is>
          <t>59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00">
        <v>240</v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00">
        <f>D601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0">
        <f>E601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0">
        <f>F601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0" start="0" length="0">
      <dxf>
        <fill>
          <patternFill patternType="solid">
            <bgColor theme="0"/>
          </patternFill>
        </fill>
      </dxf>
    </rfmt>
    <rfmt sheetId="1" sqref="H600" start="0" length="0">
      <dxf>
        <fill>
          <patternFill patternType="solid">
            <bgColor theme="0"/>
          </patternFill>
        </fill>
      </dxf>
    </rfmt>
    <rfmt sheetId="1" sqref="I600" start="0" length="0">
      <dxf>
        <fill>
          <patternFill patternType="solid">
            <bgColor theme="0"/>
          </patternFill>
        </fill>
      </dxf>
    </rfmt>
    <rfmt sheetId="1" sqref="J600" start="0" length="0">
      <dxf>
        <fill>
          <patternFill patternType="solid">
            <bgColor theme="0"/>
          </patternFill>
        </fill>
      </dxf>
    </rfmt>
  </rrc>
  <rrc rId="6492" sId="1" ref="A600:XFD600" action="deleteRow">
    <rfmt sheetId="1" xfDxf="1" sqref="A600:XFD600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600" t="inlineStr">
        <is>
          <t xml:space="preserve">Прочая закупка товаров, работ и услуг 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00" t="inlineStr">
        <is>
          <t>59 0 00 Э8160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00">
        <v>244</v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00">
        <f>8700000-1921485.27-222894.69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600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600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00" start="0" length="0">
      <dxf>
        <fill>
          <patternFill patternType="solid">
            <bgColor theme="0"/>
          </patternFill>
        </fill>
      </dxf>
    </rfmt>
    <rfmt sheetId="1" sqref="H600" start="0" length="0">
      <dxf>
        <fill>
          <patternFill patternType="solid">
            <bgColor theme="0"/>
          </patternFill>
        </fill>
      </dxf>
    </rfmt>
    <rfmt sheetId="1" sqref="I600" start="0" length="0">
      <dxf>
        <fill>
          <patternFill patternType="solid">
            <bgColor theme="0"/>
          </patternFill>
        </fill>
      </dxf>
    </rfmt>
    <rfmt sheetId="1" sqref="J600" start="0" length="0">
      <dxf>
        <fill>
          <patternFill patternType="solid">
            <bgColor theme="0"/>
          </patternFill>
        </fill>
      </dxf>
    </rfmt>
  </rrc>
  <rcc rId="6493" sId="1" numFmtId="34">
    <oc r="D604">
      <f>2883700+70000-2111604.31+267000-262984.84-49469.65</f>
    </oc>
    <nc r="D604">
      <v>808562.59</v>
    </nc>
  </rcc>
  <rcc rId="6494" sId="1" numFmtId="34">
    <oc r="E604">
      <v>3300000</v>
    </oc>
    <nc r="E604">
      <v>808562.59</v>
    </nc>
  </rcc>
  <rcc rId="6495" sId="1" numFmtId="34">
    <oc r="F604">
      <v>3300000</v>
    </oc>
    <nc r="F604">
      <v>808562.59</v>
    </nc>
  </rcc>
  <rcc rId="6496" sId="1" numFmtId="34">
    <oc r="D605">
      <v>1311616.22</v>
    </oc>
    <nc r="D605">
      <v>1364080.87</v>
    </nc>
  </rcc>
  <rcc rId="6497" sId="1" numFmtId="34">
    <oc r="F605">
      <v>1418644.1</v>
    </oc>
    <nc r="F605">
      <v>1364080.87</v>
    </nc>
  </rcc>
  <rcc rId="6498" sId="1" numFmtId="34">
    <oc r="D608">
      <f>1300000+66344.57-1300000</f>
    </oc>
    <nc r="D608">
      <v>0</v>
    </nc>
  </rcc>
  <rrc rId="6499" sId="1" ref="A606:XFD606" action="deleteRow">
    <undo index="1" exp="ref" v="1" dr="F606" r="F601" sId="1"/>
    <undo index="1" exp="ref" v="1" dr="E606" r="E601" sId="1"/>
    <undo index="1" exp="ref" v="1" dr="D606" r="D601" sId="1"/>
    <rfmt sheetId="1" xfDxf="1" sqref="A606:XFD606" start="0" length="0">
      <dxf>
        <font>
          <name val="Times New Roman"/>
          <scheme val="none"/>
        </font>
      </dxf>
    </rfmt>
    <rcc rId="0" sId="1" dxf="1">
      <nc r="A606" t="inlineStr">
        <is>
          <t>Капитальные вложения в объекты государственной (муниципальной) собственности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06" t="inlineStr">
        <is>
          <t>59 0 00 83610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06">
        <v>400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06">
        <f>D607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6">
        <f>E607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6">
        <f>F607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6" start="0" length="0">
      <dxf>
        <fill>
          <patternFill patternType="solid">
            <bgColor theme="0"/>
          </patternFill>
        </fill>
      </dxf>
    </rfmt>
    <rfmt sheetId="1" sqref="H606" start="0" length="0">
      <dxf>
        <fill>
          <patternFill patternType="solid">
            <bgColor theme="0"/>
          </patternFill>
        </fill>
      </dxf>
    </rfmt>
    <rfmt sheetId="1" sqref="I606" start="0" length="0">
      <dxf>
        <fill>
          <patternFill patternType="solid">
            <bgColor theme="0"/>
          </patternFill>
        </fill>
      </dxf>
    </rfmt>
    <rfmt sheetId="1" sqref="J606" start="0" length="0">
      <dxf>
        <fill>
          <patternFill patternType="solid">
            <bgColor theme="0"/>
          </patternFill>
        </fill>
      </dxf>
    </rfmt>
  </rrc>
  <rrc rId="6500" sId="1" ref="A606:XFD606" action="deleteRow">
    <rfmt sheetId="1" xfDxf="1" sqref="A606:XFD606" start="0" length="0">
      <dxf>
        <font>
          <name val="Times New Roman"/>
          <scheme val="none"/>
        </font>
      </dxf>
    </rfmt>
    <rcc rId="0" sId="1" dxf="1">
      <nc r="A606" t="inlineStr">
        <is>
          <t>Бюджетные инвестиции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06" t="inlineStr">
        <is>
          <t>59 0 00 83610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06">
        <v>410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06">
        <f>D607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06">
        <f>E607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06">
        <f>F607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6" start="0" length="0">
      <dxf>
        <fill>
          <patternFill patternType="solid">
            <bgColor theme="0"/>
          </patternFill>
        </fill>
      </dxf>
    </rfmt>
    <rfmt sheetId="1" sqref="H606" start="0" length="0">
      <dxf>
        <fill>
          <patternFill patternType="solid">
            <bgColor theme="0"/>
          </patternFill>
        </fill>
      </dxf>
    </rfmt>
    <rfmt sheetId="1" sqref="I606" start="0" length="0">
      <dxf>
        <fill>
          <patternFill patternType="solid">
            <bgColor theme="0"/>
          </patternFill>
        </fill>
      </dxf>
    </rfmt>
    <rfmt sheetId="1" sqref="J606" start="0" length="0">
      <dxf>
        <fill>
          <patternFill patternType="solid">
            <bgColor theme="0"/>
          </patternFill>
        </fill>
      </dxf>
    </rfmt>
  </rrc>
  <rrc rId="6501" sId="1" ref="A606:XFD606" action="deleteRow">
    <rfmt sheetId="1" xfDxf="1" sqref="A606:XFD606" start="0" length="0">
      <dxf>
        <font>
          <name val="Times New Roman"/>
          <scheme val="none"/>
        </font>
      </dxf>
    </rfmt>
    <rcc rId="0" sId="1" dxf="1">
      <nc r="A606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06" t="inlineStr">
        <is>
          <t>59 0 00 83610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06">
        <v>414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606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606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606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6" start="0" length="0">
      <dxf>
        <fill>
          <patternFill patternType="solid">
            <bgColor theme="0"/>
          </patternFill>
        </fill>
      </dxf>
    </rfmt>
    <rfmt sheetId="1" sqref="H606" start="0" length="0">
      <dxf>
        <fill>
          <patternFill patternType="solid">
            <bgColor theme="0"/>
          </patternFill>
        </fill>
      </dxf>
    </rfmt>
    <rfmt sheetId="1" sqref="I606" start="0" length="0">
      <dxf>
        <fill>
          <patternFill patternType="solid">
            <bgColor theme="0"/>
          </patternFill>
        </fill>
      </dxf>
    </rfmt>
    <rfmt sheetId="1" sqref="J606" start="0" length="0">
      <dxf>
        <fill>
          <patternFill patternType="solid">
            <bgColor theme="0"/>
          </patternFill>
        </fill>
      </dxf>
    </rfmt>
  </rrc>
  <rcc rId="6502" sId="1">
    <oc r="B606" t="inlineStr">
      <is>
        <t>59 0 00 83640</t>
      </is>
    </oc>
    <nc r="B606" t="inlineStr">
      <is>
        <t>59 0 00 83641</t>
      </is>
    </nc>
  </rcc>
  <rcc rId="6503" sId="1">
    <oc r="B607" t="inlineStr">
      <is>
        <t>59 0 00 83640</t>
      </is>
    </oc>
    <nc r="B607" t="inlineStr">
      <is>
        <t>59 0 00 83641</t>
      </is>
    </nc>
  </rcc>
  <rcc rId="6504" sId="1">
    <oc r="B608" t="inlineStr">
      <is>
        <t>59 0 00 83640</t>
      </is>
    </oc>
    <nc r="B608" t="inlineStr">
      <is>
        <t>59 0 00 83641</t>
      </is>
    </nc>
  </rcc>
  <rcc rId="6505" sId="1">
    <oc r="B609" t="inlineStr">
      <is>
        <t>59 0 00 83640</t>
      </is>
    </oc>
    <nc r="B609" t="inlineStr">
      <is>
        <t>59 0 00 83641</t>
      </is>
    </nc>
  </rcc>
  <rcc rId="6506" sId="1" numFmtId="34">
    <oc r="D609">
      <f>11005600+950066.3</f>
    </oc>
    <nc r="D609">
      <v>12340944</v>
    </nc>
  </rcc>
  <rcc rId="6507" sId="1" numFmtId="34">
    <oc r="E609">
      <v>11005600</v>
    </oc>
    <nc r="E609">
      <v>12340944</v>
    </nc>
  </rcc>
  <rcc rId="6508" sId="1" numFmtId="34">
    <oc r="F609">
      <v>11005600</v>
    </oc>
    <nc r="F609">
      <v>1340944</v>
    </nc>
  </rcc>
  <rrc rId="6509" sId="1" ref="A610:XFD613" action="insertRow"/>
  <rcc rId="6510" sId="1">
    <nc r="A611" t="inlineStr">
      <is>
        <t>Закупка товаров, работ и услуг для обеспечения государственных (муниципальных) нужд</t>
      </is>
    </nc>
  </rcc>
  <rcc rId="6511" sId="1">
    <nc r="C611">
      <v>200</v>
    </nc>
  </rcc>
  <rcc rId="6512" sId="1">
    <nc r="D611">
      <f>D612</f>
    </nc>
  </rcc>
  <rcc rId="6513" sId="1">
    <nc r="E611">
      <f>E612</f>
    </nc>
  </rcc>
  <rcc rId="6514" sId="1">
    <nc r="F611">
      <f>F612</f>
    </nc>
  </rcc>
  <rcc rId="6515" sId="1">
    <nc r="A612" t="inlineStr">
      <is>
        <t>Иные закупки товаров,работ и услуг для обеспечения государственных (муниципальных) нужд</t>
      </is>
    </nc>
  </rcc>
  <rcc rId="6516" sId="1">
    <nc r="C612">
      <v>240</v>
    </nc>
  </rcc>
  <rcc rId="6517" sId="1">
    <nc r="A613" t="inlineStr">
      <is>
        <t>Прочая закупка товаров, работ и услуг</t>
      </is>
    </nc>
  </rcc>
  <rcc rId="6518" sId="1">
    <nc r="C613">
      <v>244</v>
    </nc>
  </rcc>
  <rcc rId="6519" sId="1">
    <nc r="B610" t="inlineStr">
      <is>
        <t>59 0 00 83642</t>
      </is>
    </nc>
  </rcc>
  <rcc rId="6520" sId="1">
    <nc r="B611" t="inlineStr">
      <is>
        <t>59 0 00 83642</t>
      </is>
    </nc>
  </rcc>
  <rcc rId="6521" sId="1">
    <nc r="B612" t="inlineStr">
      <is>
        <t>59 0 00 83642</t>
      </is>
    </nc>
  </rcc>
  <rcc rId="6522" sId="1">
    <nc r="B613" t="inlineStr">
      <is>
        <t>59 0 00 83642</t>
      </is>
    </nc>
  </rcc>
  <rcc rId="6523" sId="1">
    <nc r="A610" t="inlineStr">
      <is>
        <t>Прочие расходы по незаселенному муниципальному жилищному фонду</t>
      </is>
    </nc>
  </rcc>
  <rrc rId="6524" sId="1" ref="A614:XFD615" action="insertRow"/>
  <rcc rId="6525" sId="1" odxf="1" dxf="1">
    <nc r="A614" t="inlineStr">
      <is>
        <t xml:space="preserve">Иные бюджетные ассигнования </t>
      </is>
    </nc>
    <odxf>
      <border outline="0">
        <top/>
      </border>
    </odxf>
    <ndxf>
      <border outline="0">
        <top style="thin">
          <color indexed="64"/>
        </top>
      </border>
    </ndxf>
  </rcc>
  <rcc rId="6526" sId="1">
    <nc r="C614">
      <v>800</v>
    </nc>
  </rcc>
  <rcc rId="6527" sId="1">
    <nc r="A615" t="inlineStr">
      <is>
        <t>Исполнение судебных актов</t>
      </is>
    </nc>
  </rcc>
  <rcc rId="6528" sId="1">
    <nc r="C615">
      <v>830</v>
    </nc>
  </rcc>
  <rfmt sheetId="1" sqref="D615" start="0" length="0">
    <dxf>
      <border outline="0">
        <top/>
      </border>
    </dxf>
  </rfmt>
  <rfmt sheetId="1" sqref="E615" start="0" length="0">
    <dxf>
      <border outline="0">
        <top/>
      </border>
    </dxf>
  </rfmt>
  <rfmt sheetId="1" sqref="F615" start="0" length="0">
    <dxf>
      <border outline="0">
        <top/>
      </border>
    </dxf>
  </rfmt>
  <rcc rId="6529" sId="1">
    <nc r="B614" t="inlineStr">
      <is>
        <t>59 0 00 83642</t>
      </is>
    </nc>
  </rcc>
  <rcc rId="6530" sId="1">
    <nc r="B615" t="inlineStr">
      <is>
        <t>59 0 00 83642</t>
      </is>
    </nc>
  </rcc>
  <rrc rId="6531" sId="1" ref="A614:XFD614" action="insertRow"/>
  <rcc rId="6532" sId="1">
    <nc r="A614" t="inlineStr">
      <is>
        <t>Закупка энергетических ресурсов</t>
      </is>
    </nc>
  </rcc>
  <rcc rId="6533" sId="1">
    <nc r="C614">
      <v>247</v>
    </nc>
  </rcc>
  <rfmt sheetId="1" sqref="D614" start="0" length="0">
    <dxf>
      <border outline="0">
        <top/>
      </border>
    </dxf>
  </rfmt>
  <rfmt sheetId="1" sqref="E614" start="0" length="0">
    <dxf>
      <border outline="0">
        <top/>
      </border>
    </dxf>
  </rfmt>
  <rfmt sheetId="1" sqref="F614" start="0" length="0">
    <dxf>
      <border outline="0">
        <top/>
      </border>
    </dxf>
  </rfmt>
  <rcc rId="6534" sId="1">
    <nc r="B614" t="inlineStr">
      <is>
        <t>59 0 00 83642</t>
      </is>
    </nc>
  </rcc>
  <rcc rId="6535" sId="1">
    <nc r="D612">
      <f>D613+D614</f>
    </nc>
  </rcc>
  <rcc rId="6536" sId="1">
    <nc r="E612">
      <f>E613+E614</f>
    </nc>
  </rcc>
  <rcc rId="6537" sId="1">
    <nc r="F612">
      <f>F613+F614</f>
    </nc>
  </rcc>
  <rcc rId="6538" sId="1" numFmtId="34">
    <nc r="D613">
      <v>1447414.1</v>
    </nc>
  </rcc>
  <rcc rId="6539" sId="1" numFmtId="34">
    <nc r="E613">
      <v>1447414.1</v>
    </nc>
  </rcc>
  <rcc rId="6540" sId="1" numFmtId="34">
    <nc r="F613">
      <v>1447414.1</v>
    </nc>
  </rcc>
  <rcc rId="6541" sId="1" numFmtId="34">
    <nc r="D614">
      <v>2019988</v>
    </nc>
  </rcc>
  <rcc rId="6542" sId="1" numFmtId="34">
    <nc r="E614">
      <v>2039689.6</v>
    </nc>
  </rcc>
  <rcc rId="6543" sId="1" numFmtId="34">
    <nc r="F614">
      <v>2121277.1800000002</v>
    </nc>
  </rcc>
  <rcc rId="6544" sId="1" numFmtId="34">
    <oc r="D622">
      <v>2120945</v>
    </oc>
    <nc r="D622"/>
  </rcc>
  <rcc rId="6545" sId="1" numFmtId="34">
    <oc r="E622">
      <v>2085399</v>
    </oc>
    <nc r="E622"/>
  </rcc>
  <rcc rId="6546" sId="1" numFmtId="34">
    <oc r="F622">
      <v>2168815</v>
    </oc>
    <nc r="F622"/>
  </rcc>
  <rcc rId="6547" sId="1" numFmtId="34">
    <oc r="D620">
      <v>97542.24</v>
    </oc>
    <nc r="D620"/>
  </rcc>
  <rcc rId="6548" sId="1">
    <oc r="D601">
      <f>D602+#REF!</f>
    </oc>
    <nc r="D601">
      <f>D602</f>
    </nc>
  </rcc>
  <rcc rId="6549" sId="1">
    <oc r="E601">
      <f>E602+#REF!</f>
    </oc>
    <nc r="E601">
      <f>E602</f>
    </nc>
  </rcc>
  <rcc rId="6550" sId="1">
    <oc r="F601">
      <f>F602+#REF!</f>
    </oc>
    <nc r="F601">
      <f>F602</f>
    </nc>
  </rcc>
  <rcc rId="6551" sId="1">
    <nc r="D610">
      <f>D611+D615</f>
    </nc>
  </rcc>
  <rcc rId="6552" sId="1">
    <nc r="E610">
      <f>E611+E615</f>
    </nc>
  </rcc>
  <rcc rId="6553" sId="1">
    <nc r="F610">
      <f>F611+F615</f>
    </nc>
  </rcc>
  <rcc rId="6554" sId="1" numFmtId="34">
    <nc r="D616">
      <v>20000</v>
    </nc>
  </rcc>
  <rcc rId="6555" sId="1" numFmtId="34">
    <nc r="E616">
      <v>20000</v>
    </nc>
  </rcc>
  <rcc rId="6556" sId="1" numFmtId="34">
    <nc r="F616">
      <v>20000</v>
    </nc>
  </rcc>
  <rcc rId="6557" sId="1">
    <nc r="D615">
      <f>D616</f>
    </nc>
  </rcc>
  <rcc rId="6558" sId="1">
    <nc r="E615">
      <f>E616</f>
    </nc>
  </rcc>
  <rcc rId="6559" sId="1">
    <nc r="F615">
      <f>F616</f>
    </nc>
  </rcc>
  <rrc rId="6560" sId="1" ref="A620:XFD620" action="deleteRow">
    <undo index="3" exp="ref" v="1" dr="F620" r="F619" sId="1"/>
    <undo index="3" exp="ref" v="1" dr="E620" r="E619" sId="1"/>
    <undo index="3" exp="ref" v="1" dr="D620" r="D619" sId="1"/>
    <rfmt sheetId="1" xfDxf="1" sqref="A620:XFD620" start="0" length="0">
      <dxf>
        <font>
          <name val="Times New Roman"/>
          <scheme val="none"/>
        </font>
      </dxf>
    </rfmt>
    <rcc rId="0" sId="1" dxf="1">
      <nc r="A620" t="inlineStr">
        <is>
          <t>Закупка товаров, работ и услуг в целях капитального ремонта государственного (муниципального) имущества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0" t="inlineStr">
        <is>
          <t>59 0 00 83650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0">
        <v>243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D620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34">
      <nc r="E620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620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0" start="0" length="0">
      <dxf>
        <fill>
          <patternFill patternType="solid">
            <bgColor theme="0"/>
          </patternFill>
        </fill>
      </dxf>
    </rfmt>
    <rfmt sheetId="1" sqref="H620" start="0" length="0">
      <dxf>
        <fill>
          <patternFill patternType="solid">
            <bgColor theme="0"/>
          </patternFill>
        </fill>
      </dxf>
    </rfmt>
    <rfmt sheetId="1" sqref="I620" start="0" length="0">
      <dxf>
        <fill>
          <patternFill patternType="solid">
            <bgColor theme="0"/>
          </patternFill>
        </fill>
      </dxf>
    </rfmt>
    <rfmt sheetId="1" sqref="J620" start="0" length="0">
      <dxf>
        <fill>
          <patternFill patternType="solid">
            <bgColor theme="0"/>
          </patternFill>
        </fill>
      </dxf>
    </rfmt>
  </rrc>
  <rrc rId="6561" sId="1" ref="A621:XFD621" action="deleteRow">
    <undo index="1" exp="ref" v="1" dr="F621" r="F619" sId="1"/>
    <undo index="1" exp="ref" v="1" dr="E621" r="E619" sId="1"/>
    <undo index="1" exp="ref" v="1" dr="D621" r="D619" sId="1"/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>Закупка энергетических ресурсов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1">
        <v>247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D62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="1" sqref="E62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="1" sqref="F62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cc rId="6562" sId="1" numFmtId="34">
    <oc r="D620">
      <f>2874890.87-97542.24-141627.76+417670-50000</f>
    </oc>
    <nc r="D620">
      <v>576533.9</v>
    </nc>
  </rcc>
  <rcc rId="6563" sId="1" numFmtId="34">
    <oc r="E620">
      <f>1341897+730000</f>
    </oc>
    <nc r="E620">
      <v>531533.9</v>
    </nc>
  </rcc>
  <rcc rId="6564" sId="1" numFmtId="34">
    <oc r="F620">
      <f>1341897+730000</f>
    </oc>
    <nc r="F620">
      <v>531533.9</v>
    </nc>
  </rcc>
  <rcc rId="6565" sId="1">
    <oc r="D619">
      <f>D620+#REF!+#REF!</f>
    </oc>
    <nc r="D619">
      <f>D620</f>
    </nc>
  </rcc>
  <rcc rId="6566" sId="1">
    <oc r="E619">
      <f>E620+#REF!+#REF!</f>
    </oc>
    <nc r="E619">
      <f>E620</f>
    </nc>
  </rcc>
  <rcc rId="6567" sId="1">
    <oc r="F619">
      <f>F620+#REF!+#REF!</f>
    </oc>
    <nc r="F619">
      <f>F620</f>
    </nc>
  </rcc>
  <rrc rId="6568" sId="1" ref="A621:XFD621" action="deleteRow">
    <undo index="3" exp="ref" v="1" dr="F621" r="F617" sId="1"/>
    <undo index="3" exp="ref" v="1" dr="E621" r="E617" sId="1"/>
    <undo index="3" exp="ref" v="1" dr="D621" r="D617" sId="1"/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>Капитальные вложения в объекты государственной (муниципальной) собственности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 quotePrefix="1">
      <nc r="C621" t="inlineStr">
        <is>
          <t>400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21">
        <f>D622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621">
        <f>E622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621">
        <f>F622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rc rId="6569" sId="1" ref="A621:XFD621" action="deleteRow"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>Бюджетные инвестиции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 quotePrefix="1">
      <nc r="C621" t="inlineStr">
        <is>
          <t>410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21">
        <f>D622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621">
        <f>E622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621">
        <f>F622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rc rId="6570" sId="1" ref="A621:XFD621" action="deleteRow"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>Бюджетные инвестиции на приобретение объектов недвижимого имущества в государственную (муниципальную) собственность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 quotePrefix="1">
      <nc r="C621" t="inlineStr">
        <is>
          <t>412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621">
        <v>235229.64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E621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F621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rc rId="6571" sId="1" ref="A621:XFD621" action="deleteRow">
    <undo index="1" exp="ref" v="1" dr="F621" r="F617" sId="1"/>
    <undo index="1" exp="ref" v="1" dr="E621" r="E617" sId="1"/>
    <undo index="1" exp="ref" v="1" dr="D621" r="D617" sId="1"/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 xml:space="preserve">Иные бюджетные ассигнования 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1" t="inlineStr">
        <is>
          <t>59 0 00 83650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1">
        <v>800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21">
        <f>D622+D623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21">
        <f>E622+E623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21">
        <f>F622+F623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rc rId="6572" sId="1" ref="A621:XFD621" action="deleteRow"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>Исполнение судебных актов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1">
        <v>830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21">
        <f>72000+39546.6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E621">
        <v>20000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F621">
        <v>20000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rc rId="6573" sId="1" ref="A621:XFD621" action="deleteRow"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>Уплата налогов, сборов и иных платежей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1">
        <v>850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21">
        <f>93421-22158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E621">
        <v>93421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F621">
        <v>93421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cc rId="6574" sId="1">
    <oc r="D617">
      <f>D618+D621+#REF!</f>
    </oc>
    <nc r="D617">
      <f>D618</f>
    </nc>
  </rcc>
  <rcc rId="6575" sId="1">
    <oc r="E617">
      <f>E618+E621+#REF!</f>
    </oc>
    <nc r="E617">
      <f>E618</f>
    </nc>
  </rcc>
  <rcc rId="6576" sId="1">
    <oc r="F617">
      <f>F618+F621+#REF!</f>
    </oc>
    <nc r="F617">
      <f>F618</f>
    </nc>
  </rcc>
  <rcc rId="6577" sId="1" numFmtId="34">
    <oc r="D624">
      <v>9833380</v>
    </oc>
    <nc r="D624">
      <v>0</v>
    </nc>
  </rcc>
  <rrc rId="6578" sId="1" ref="A621:XFD621" action="deleteRow">
    <undo index="5" exp="ref" v="1" dr="F621" r="F595" sId="1"/>
    <undo index="5" exp="ref" v="1" dr="E621" r="E595" sId="1"/>
    <undo index="5" exp="ref" v="1" dr="D621" r="D595" sId="1"/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>Софинансирование на противоаварийные мероприятия и ремонтно-восстановительные работы по проведению ремонта жилищного фонда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59 0 00 83659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621" start="0" length="0">
      <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621">
        <f>D622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621">
        <f>E622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621">
        <f>F622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rc rId="6579" sId="1" ref="A621:XFD621" action="deleteRow"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59 0 00 83659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1">
        <v>200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21">
        <f>D622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621">
        <f>E622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621">
        <f>F622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rc rId="6580" sId="1" ref="A621:XFD621" action="deleteRow"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59 0 00 83659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1">
        <v>240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21">
        <f>D623+D622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621">
        <f>E623+E622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621">
        <f>F623+F622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rc rId="6581" sId="1" ref="A621:XFD621" action="deleteRow"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>Закупка товаров, работ, услуг в целях капитального
ремонта государственного (муниципального) имущества</t>
        </is>
      </nc>
      <ndxf>
        <fill>
          <patternFill patternType="solid">
            <bgColor rgb="FFFFFF00"/>
          </patternFill>
        </fill>
        <alignment horizontal="justify" vertic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59 0 00 83659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1">
        <v>243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621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="1" sqref="E62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="1" sqref="F621" start="0" length="0">
      <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rc rId="6582" sId="1" ref="A621:XFD621" action="deleteRow">
    <rfmt sheetId="1" xfDxf="1" sqref="A621:XFD621" start="0" length="0">
      <dxf>
        <font>
          <name val="Times New Roman"/>
          <scheme val="none"/>
        </font>
      </dxf>
    </rfmt>
    <rcc rId="0" sId="1" dxf="1">
      <nc r="A621" t="inlineStr">
        <is>
          <t xml:space="preserve">Прочая закупка товаров, работ и услуг 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1" t="inlineStr">
        <is>
          <t>59 0 00 83659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1">
        <v>244</v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21">
        <f>9233380-9233380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E621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F621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621" start="0" length="0">
      <dxf>
        <fill>
          <patternFill patternType="solid">
            <bgColor theme="0"/>
          </patternFill>
        </fill>
      </dxf>
    </rfmt>
    <rfmt sheetId="1" sqref="H621" start="0" length="0">
      <dxf>
        <fill>
          <patternFill patternType="solid">
            <bgColor theme="0"/>
          </patternFill>
        </fill>
      </dxf>
    </rfmt>
    <rfmt sheetId="1" sqref="I621" start="0" length="0">
      <dxf>
        <fill>
          <patternFill patternType="solid">
            <bgColor theme="0"/>
          </patternFill>
        </fill>
      </dxf>
    </rfmt>
    <rfmt sheetId="1" sqref="J621" start="0" length="0">
      <dxf>
        <fill>
          <patternFill patternType="solid">
            <bgColor theme="0"/>
          </patternFill>
        </fill>
      </dxf>
    </rfmt>
  </rrc>
  <rcc rId="6583" sId="1" odxf="1" dxf="1">
    <oc r="A621" t="inlineStr">
      <is>
        <t>Затраты на обследование жилищного фонда на признание многоквартирных домов аварийными и подлежащими сносу или реконструкции</t>
      </is>
    </oc>
    <nc r="A621" t="inlineStr">
      <is>
        <t>Затраты на обследование и инвентаризацию жилищного фонда</t>
      </is>
    </nc>
    <odxf>
      <fill>
        <patternFill>
          <bgColor rgb="FFFFFF00"/>
        </patternFill>
      </fill>
      <alignment wrapText="0" readingOrder="0"/>
    </odxf>
    <ndxf>
      <fill>
        <patternFill>
          <bgColor theme="7" tint="0.39997558519241921"/>
        </patternFill>
      </fill>
      <alignment wrapText="1" readingOrder="0"/>
    </ndxf>
  </rcc>
  <rcc rId="6584" sId="1">
    <oc r="A625" t="inlineStr">
      <is>
        <t>Расходы на проведение независимой оценки стоимости имущества, для целей выплаты возмещения гражданам за принадлежащие им жилые помещения при изъятии земельных участков, на которых расположены аварийные дома, признанные аварийными, в которых находятся жилые помещения</t>
      </is>
    </oc>
    <nc r="A625" t="inlineStr">
      <is>
        <t>Расходы по независимой оценке стоимости имущества, для целей выплаты возмещения гражданам за принадлежащие им жилые помещения при изъятии земельных участков, на которых расположены аварийные дома, признанные аварийными, в которых находятся жилые помещения</t>
      </is>
    </nc>
  </rcc>
  <rrc rId="6585" sId="1" ref="A625:XFD625" action="deleteRow">
    <undo index="9" exp="ref" v="1" dr="F625" r="F600" sId="1"/>
    <undo index="9" exp="ref" v="1" dr="E625" r="E600" sId="1"/>
    <undo index="9" exp="ref" v="1" dr="D625" r="D600" sId="1"/>
    <rfmt sheetId="1" xfDxf="1" sqref="A625:XFD625" start="0" length="0">
      <dxf>
        <font>
          <i/>
          <name val="Times New Roman"/>
          <scheme val="none"/>
        </font>
        <fill>
          <patternFill patternType="solid">
            <bgColor rgb="FFFF0000"/>
          </patternFill>
        </fill>
        <alignment vertical="center" readingOrder="0"/>
      </dxf>
    </rfmt>
    <rcc rId="0" sId="1" dxf="1">
      <nc r="A625" t="inlineStr">
        <is>
          <t>Расходы по независимой оценке стоимости имущества, для целей выплаты возмещения гражданам за принадлежащие им жилые помещения при изъятии земельных участков, на которых расположены аварийные дома, признанные аварийными, в которых находятся жилые помещения</t>
        </is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5" t="inlineStr">
        <is>
          <t>59 0 00 83662</t>
        </is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625" start="0" length="0">
      <dxf>
        <font>
          <i val="0"/>
          <name val="Times New Roman"/>
          <scheme val="none"/>
        </font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625">
        <f>D626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25">
        <f>E626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25">
        <f>F626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5" start="0" length="0">
      <dxf>
        <fill>
          <patternFill>
            <bgColor theme="0"/>
          </patternFill>
        </fill>
      </dxf>
    </rfmt>
    <rfmt sheetId="1" sqref="H625" start="0" length="0">
      <dxf>
        <fill>
          <patternFill>
            <bgColor theme="0"/>
          </patternFill>
        </fill>
      </dxf>
    </rfmt>
    <rfmt sheetId="1" sqref="I625" start="0" length="0">
      <dxf>
        <fill>
          <patternFill>
            <bgColor theme="0"/>
          </patternFill>
        </fill>
      </dxf>
    </rfmt>
    <rfmt sheetId="1" sqref="J625" start="0" length="0">
      <dxf>
        <fill>
          <patternFill>
            <bgColor theme="0"/>
          </patternFill>
        </fill>
      </dxf>
    </rfmt>
  </rrc>
  <rrc rId="6586" sId="1" ref="A625:XFD625" action="deleteRow">
    <rfmt sheetId="1" xfDxf="1" sqref="A625:XFD625" start="0" length="0">
      <dxf>
        <font>
          <i/>
          <name val="Times New Roman"/>
          <scheme val="none"/>
        </font>
        <fill>
          <patternFill patternType="solid">
            <bgColor rgb="FFFF0000"/>
          </patternFill>
        </fill>
        <alignment vertical="center" readingOrder="0"/>
      </dxf>
    </rfmt>
    <rcc rId="0" sId="1" dxf="1">
      <nc r="A625" t="inlineStr">
        <is>
          <t>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5" t="inlineStr">
        <is>
          <t>59 0 00 83662</t>
        </is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5">
        <v>200</v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25">
        <f>D626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25">
        <f>E626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25">
        <f>F626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5" start="0" length="0">
      <dxf>
        <fill>
          <patternFill>
            <bgColor theme="0"/>
          </patternFill>
        </fill>
      </dxf>
    </rfmt>
    <rfmt sheetId="1" sqref="H625" start="0" length="0">
      <dxf>
        <fill>
          <patternFill>
            <bgColor theme="0"/>
          </patternFill>
        </fill>
      </dxf>
    </rfmt>
    <rfmt sheetId="1" sqref="I625" start="0" length="0">
      <dxf>
        <fill>
          <patternFill>
            <bgColor theme="0"/>
          </patternFill>
        </fill>
      </dxf>
    </rfmt>
    <rfmt sheetId="1" sqref="J625" start="0" length="0">
      <dxf>
        <fill>
          <patternFill>
            <bgColor theme="0"/>
          </patternFill>
        </fill>
      </dxf>
    </rfmt>
  </rrc>
  <rrc rId="6587" sId="1" ref="A625:XFD625" action="deleteRow">
    <rfmt sheetId="1" xfDxf="1" sqref="A625:XFD625" start="0" length="0">
      <dxf>
        <font>
          <i/>
          <name val="Times New Roman"/>
          <scheme val="none"/>
        </font>
        <fill>
          <patternFill patternType="solid">
            <bgColor rgb="FFFF0000"/>
          </patternFill>
        </fill>
        <alignment vertical="center" readingOrder="0"/>
      </dxf>
    </rfmt>
    <rcc rId="0" sId="1" dxf="1">
      <nc r="A625" t="inlineStr">
        <is>
          <t>Иные закупки товаров,работ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5" t="inlineStr">
        <is>
          <t>59 0 00 83662</t>
        </is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5">
        <v>240</v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25">
        <f>D626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25">
        <f>E626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25">
        <f>F626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5" start="0" length="0">
      <dxf>
        <fill>
          <patternFill>
            <bgColor theme="0"/>
          </patternFill>
        </fill>
      </dxf>
    </rfmt>
    <rfmt sheetId="1" sqref="H625" start="0" length="0">
      <dxf>
        <fill>
          <patternFill>
            <bgColor theme="0"/>
          </patternFill>
        </fill>
      </dxf>
    </rfmt>
    <rfmt sheetId="1" sqref="I625" start="0" length="0">
      <dxf>
        <fill>
          <patternFill>
            <bgColor theme="0"/>
          </patternFill>
        </fill>
      </dxf>
    </rfmt>
    <rfmt sheetId="1" sqref="J625" start="0" length="0">
      <dxf>
        <fill>
          <patternFill>
            <bgColor theme="0"/>
          </patternFill>
        </fill>
      </dxf>
    </rfmt>
  </rrc>
  <rrc rId="6588" sId="1" ref="A625:XFD625" action="deleteRow">
    <rfmt sheetId="1" xfDxf="1" sqref="A625:XFD625" start="0" length="0">
      <dxf>
        <font>
          <i/>
          <name val="Times New Roman"/>
          <scheme val="none"/>
        </font>
        <fill>
          <patternFill patternType="solid">
            <bgColor rgb="FFFF0000"/>
          </patternFill>
        </fill>
        <alignment vertical="center" readingOrder="0"/>
      </dxf>
    </rfmt>
    <rcc rId="0" sId="1" dxf="1">
      <nc r="A625" t="inlineStr">
        <is>
          <t xml:space="preserve">Прочая закупка товаров, работ и услуг </t>
        </is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25" t="inlineStr">
        <is>
          <t>59 0 00 83662</t>
        </is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25">
        <v>244</v>
      </nc>
      <ndxf>
        <font>
          <i val="0"/>
          <name val="Times New Roman"/>
          <scheme val="none"/>
        </font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625">
        <v>45000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25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25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5" start="0" length="0">
      <dxf>
        <fill>
          <patternFill>
            <bgColor theme="0"/>
          </patternFill>
        </fill>
      </dxf>
    </rfmt>
    <rfmt sheetId="1" sqref="H625" start="0" length="0">
      <dxf>
        <fill>
          <patternFill>
            <bgColor theme="0"/>
          </patternFill>
        </fill>
      </dxf>
    </rfmt>
    <rfmt sheetId="1" sqref="I625" start="0" length="0">
      <dxf>
        <fill>
          <patternFill>
            <bgColor theme="0"/>
          </patternFill>
        </fill>
      </dxf>
    </rfmt>
    <rfmt sheetId="1" sqref="J625" start="0" length="0">
      <dxf>
        <fill>
          <patternFill>
            <bgColor theme="0"/>
          </patternFill>
        </fill>
      </dxf>
    </rfmt>
  </rrc>
  <rcc rId="6589" sId="1" numFmtId="34">
    <oc r="D624">
      <f>45000+655000</f>
    </oc>
    <nc r="D624">
      <f>160205+590000</f>
    </nc>
  </rcc>
  <rcc rId="6590" sId="1" numFmtId="34">
    <nc r="E624">
      <f>160205+590000</f>
    </nc>
  </rcc>
  <rcc rId="6591" sId="1" numFmtId="34">
    <nc r="F624">
      <f>160205+590000</f>
    </nc>
  </rcc>
  <rcc rId="6592" sId="1" numFmtId="34">
    <oc r="D628">
      <f>500000-279465.01</f>
    </oc>
    <nc r="D628">
      <v>350000</v>
    </nc>
  </rcc>
  <rcc rId="6593" sId="1" numFmtId="34">
    <oc r="E628">
      <v>1010000</v>
    </oc>
    <nc r="E628">
      <v>350000</v>
    </nc>
  </rcc>
  <rcc rId="6594" sId="1" numFmtId="34">
    <oc r="F628">
      <v>1010000</v>
    </oc>
    <nc r="F628">
      <v>350000</v>
    </nc>
  </rcc>
  <rrc rId="6595" sId="1" ref="A629:XFD632" action="insertRow"/>
  <rfmt sheetId="1" sqref="C629" start="0" length="0">
    <dxf/>
  </rfmt>
  <rcc rId="6596" sId="1">
    <nc r="D629">
      <f>D630</f>
    </nc>
  </rcc>
  <rcc rId="6597" sId="1">
    <nc r="E629">
      <f>E630</f>
    </nc>
  </rcc>
  <rcc rId="6598" sId="1">
    <nc r="F629">
      <f>F630</f>
    </nc>
  </rcc>
  <rfmt sheetId="1" sqref="A629:XFD629" start="0" length="0">
    <dxf>
      <fill>
        <patternFill patternType="solid">
          <bgColor theme="6" tint="0.59999389629810485"/>
        </patternFill>
      </fill>
    </dxf>
  </rfmt>
  <rcc rId="6599" sId="1" odxf="1" dxf="1">
    <nc r="C630" t="inlineStr">
      <is>
        <t>800</t>
      </is>
    </nc>
    <odxf/>
    <ndxf/>
  </rcc>
  <rcc rId="6600" sId="1">
    <nc r="D630">
      <f>D631</f>
    </nc>
  </rcc>
  <rcc rId="6601" sId="1">
    <nc r="E630">
      <f>E631</f>
    </nc>
  </rcc>
  <rcc rId="6602" sId="1">
    <nc r="F630">
      <f>F631</f>
    </nc>
  </rcc>
  <rfmt sheetId="1" sqref="A630:XFD630" start="0" length="0">
    <dxf>
      <fill>
        <patternFill patternType="solid">
          <bgColor theme="6" tint="0.59999389629810485"/>
        </patternFill>
      </fill>
    </dxf>
  </rfmt>
  <rcc rId="6603" sId="1" odxf="1" dxf="1">
    <nc r="C631" t="inlineStr">
      <is>
        <t>810</t>
      </is>
    </nc>
    <odxf/>
    <ndxf/>
  </rcc>
  <rcc rId="6604" sId="1">
    <nc r="D631">
      <f>D632</f>
    </nc>
  </rcc>
  <rcc rId="6605" sId="1">
    <nc r="E631">
      <f>E632</f>
    </nc>
  </rcc>
  <rcc rId="6606" sId="1">
    <nc r="F631">
      <f>F632</f>
    </nc>
  </rcc>
  <rfmt sheetId="1" sqref="A631:XFD631" start="0" length="0">
    <dxf>
      <fill>
        <patternFill patternType="solid">
          <bgColor theme="6" tint="0.59999389629810485"/>
        </patternFill>
      </fill>
    </dxf>
  </rfmt>
  <rcc rId="6607" sId="1" odxf="1" dxf="1">
    <nc r="C632" t="inlineStr">
      <is>
        <t>811</t>
      </is>
    </nc>
    <odxf/>
    <ndxf/>
  </rcc>
  <rfmt sheetId="1" sqref="A632:XFD632" start="0" length="0">
    <dxf>
      <fill>
        <patternFill patternType="solid">
          <bgColor theme="6" tint="0.59999389629810485"/>
        </patternFill>
      </fill>
    </dxf>
  </rfmt>
  <rcc rId="6608" sId="1">
    <nc r="A629" t="inlineStr">
      <is>
        <t>Возмещение убытков, связанных с оказанием банных услуг по тарифам, не обеспечивающим возмещение издержек (нераспределенные средства)</t>
      </is>
    </nc>
  </rcc>
  <rcc rId="6609" sId="1">
    <nc r="A630" t="inlineStr">
      <is>
        <t xml:space="preserve">Иные бюджетные ассигнования </t>
      </is>
    </nc>
  </rcc>
  <rcc rId="6610" sId="1">
    <nc r="A631" t="inlineStr">
      <is>
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</is>
    </nc>
  </rcc>
  <rcc rId="6611" sId="1">
    <nc r="A632" t="inlineStr">
      <is>
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</is>
    </nc>
  </rcc>
  <rcc rId="6612" sId="1" numFmtId="34">
    <nc r="D632">
      <v>1541000</v>
    </nc>
  </rcc>
  <rcc rId="6613" sId="1" numFmtId="34">
    <nc r="E632">
      <v>1541000</v>
    </nc>
  </rcc>
  <rcc rId="6614" sId="1" numFmtId="34">
    <nc r="F632">
      <v>1541000</v>
    </nc>
  </rcc>
  <rcc rId="6615" sId="1" numFmtId="34">
    <oc r="D636">
      <v>1678185.37</v>
    </oc>
    <nc r="D636">
      <v>0</v>
    </nc>
  </rcc>
  <rcc rId="6616" sId="1" numFmtId="34">
    <oc r="D640">
      <v>993300</v>
    </oc>
    <nc r="D640">
      <v>0</v>
    </nc>
  </rcc>
  <rrc rId="6617" sId="1" ref="A641:XFD641" action="deleteRow">
    <undo index="5" exp="ref" v="1" dr="F641" r="F625" sId="1"/>
    <undo index="5" exp="ref" v="1" dr="E641" r="E625" sId="1"/>
    <undo index="5" exp="ref" v="1" dr="D641" r="D625" sId="1"/>
    <rfmt sheetId="1" xfDxf="1" sqref="A641:XFD64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41" t="inlineStr">
        <is>
          <t>Возмещение убытков МУП "Плесецк-Ресурс", связанных с оказанием банных услуг на территории пос.Североонежск, по тарифам, не обеспечивающим возмещение издержек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41" t="inlineStr">
        <is>
          <t>59 0 00 83694</t>
        </is>
      </nc>
      <ndxf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64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641">
        <f>D642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41">
        <f>E642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41">
        <f>F642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1" start="0" length="0">
      <dxf>
        <fill>
          <patternFill>
            <bgColor theme="0"/>
          </patternFill>
        </fill>
      </dxf>
    </rfmt>
    <rfmt sheetId="1" sqref="H641" start="0" length="0">
      <dxf>
        <fill>
          <patternFill>
            <bgColor theme="0"/>
          </patternFill>
        </fill>
      </dxf>
    </rfmt>
    <rfmt sheetId="1" sqref="I641" start="0" length="0">
      <dxf>
        <fill>
          <patternFill>
            <bgColor theme="0"/>
          </patternFill>
        </fill>
      </dxf>
    </rfmt>
    <rfmt sheetId="1" sqref="J641" start="0" length="0">
      <dxf>
        <fill>
          <patternFill>
            <bgColor theme="0"/>
          </patternFill>
        </fill>
      </dxf>
    </rfmt>
  </rrc>
  <rrc rId="6618" sId="1" ref="A641:XFD641" action="deleteRow">
    <rfmt sheetId="1" xfDxf="1" sqref="A641:XFD64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41" t="inlineStr">
        <is>
          <t>Иные бюджетные ассигнования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41" t="inlineStr">
        <is>
          <t>59 0 00 83694</t>
        </is>
      </nc>
      <ndxf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41" t="inlineStr">
        <is>
          <t>800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41">
        <f>D642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41">
        <f>E642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41">
        <f>F642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1" start="0" length="0">
      <dxf>
        <fill>
          <patternFill>
            <bgColor theme="0"/>
          </patternFill>
        </fill>
      </dxf>
    </rfmt>
    <rfmt sheetId="1" sqref="H641" start="0" length="0">
      <dxf>
        <fill>
          <patternFill>
            <bgColor theme="0"/>
          </patternFill>
        </fill>
      </dxf>
    </rfmt>
    <rfmt sheetId="1" sqref="I641" start="0" length="0">
      <dxf>
        <fill>
          <patternFill>
            <bgColor theme="0"/>
          </patternFill>
        </fill>
      </dxf>
    </rfmt>
    <rfmt sheetId="1" sqref="J641" start="0" length="0">
      <dxf>
        <fill>
          <patternFill>
            <bgColor theme="0"/>
          </patternFill>
        </fill>
      </dxf>
    </rfmt>
  </rrc>
  <rrc rId="6619" sId="1" ref="A641:XFD641" action="deleteRow">
    <rfmt sheetId="1" xfDxf="1" sqref="A641:XFD64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41" t="inlineStr">
        <is>
  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41" t="inlineStr">
        <is>
          <t>59 0 00 83694</t>
        </is>
      </nc>
      <ndxf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41" t="inlineStr">
        <is>
          <t>810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41">
        <f>D642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41">
        <f>E642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41">
        <f>F642</f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1" start="0" length="0">
      <dxf>
        <fill>
          <patternFill>
            <bgColor theme="0"/>
          </patternFill>
        </fill>
      </dxf>
    </rfmt>
    <rfmt sheetId="1" sqref="H641" start="0" length="0">
      <dxf>
        <fill>
          <patternFill>
            <bgColor theme="0"/>
          </patternFill>
        </fill>
      </dxf>
    </rfmt>
    <rfmt sheetId="1" sqref="I641" start="0" length="0">
      <dxf>
        <fill>
          <patternFill>
            <bgColor theme="0"/>
          </patternFill>
        </fill>
      </dxf>
    </rfmt>
    <rfmt sheetId="1" sqref="J641" start="0" length="0">
      <dxf>
        <fill>
          <patternFill>
            <bgColor theme="0"/>
          </patternFill>
        </fill>
      </dxf>
    </rfmt>
  </rrc>
  <rrc rId="6620" sId="1" ref="A641:XFD641" action="deleteRow">
    <rfmt sheetId="1" xfDxf="1" sqref="A641:XFD641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</dxf>
    </rfmt>
    <rcc rId="0" sId="1" dxf="1">
      <nc r="A641" t="inlineStr">
        <is>
  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  </is>
      </nc>
      <n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41" t="inlineStr">
        <is>
          <t>59 0 00 83694</t>
        </is>
      </nc>
      <ndxf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41" t="inlineStr">
        <is>
          <t>811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641">
        <v>510900</v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641">
        <v>2340000</v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641">
        <v>2340000</v>
      </nc>
      <n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1" start="0" length="0">
      <dxf>
        <fill>
          <patternFill>
            <bgColor theme="0"/>
          </patternFill>
        </fill>
      </dxf>
    </rfmt>
    <rfmt sheetId="1" sqref="H641" start="0" length="0">
      <dxf>
        <fill>
          <patternFill>
            <bgColor theme="0"/>
          </patternFill>
        </fill>
      </dxf>
    </rfmt>
    <rfmt sheetId="1" sqref="I641" start="0" length="0">
      <dxf>
        <fill>
          <patternFill>
            <bgColor theme="0"/>
          </patternFill>
        </fill>
      </dxf>
    </rfmt>
    <rfmt sheetId="1" sqref="J641" start="0" length="0">
      <dxf>
        <fill>
          <patternFill>
            <bgColor theme="0"/>
          </patternFill>
        </fill>
      </dxf>
    </rfmt>
  </rrc>
  <rcc rId="6621" sId="1">
    <oc r="D625">
      <f>D626+D633+D637+#REF!</f>
    </oc>
    <nc r="D625">
      <f>D626+D633+D637</f>
    </nc>
  </rcc>
  <rcc rId="6622" sId="1">
    <oc r="E625">
      <f>E626+E633+E637+#REF!</f>
    </oc>
    <nc r="E625">
      <f>E626+E633+E637</f>
    </nc>
  </rcc>
  <rcc rId="6623" sId="1">
    <oc r="F625">
      <f>F626+F633+F637+#REF!</f>
    </oc>
    <nc r="F625">
      <f>F626+F633+F637</f>
    </nc>
  </rcc>
  <rfmt sheetId="1" s="1" sqref="G625" start="0" length="0">
    <dxf>
      <numFmt numFmtId="164" formatCode="_-* #,##0.00_р_._-;\-* #,##0.00_р_._-;_-* &quot;-&quot;??_р_._-;_-@_-"/>
      <fill>
        <patternFill>
          <bgColor rgb="FFFFFF00"/>
        </patternFill>
      </fill>
      <alignment vertical="center" readingOrder="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624" sId="1">
    <nc r="B629" t="inlineStr">
      <is>
        <t>59 0 00 83691</t>
      </is>
    </nc>
  </rcc>
  <rcc rId="6625" sId="1">
    <nc r="B630" t="inlineStr">
      <is>
        <t>59 0 00 83691</t>
      </is>
    </nc>
  </rcc>
  <rcc rId="6626" sId="1">
    <nc r="B631" t="inlineStr">
      <is>
        <t>59 0 00 83691</t>
      </is>
    </nc>
  </rcc>
  <rcc rId="6627" sId="1">
    <nc r="B632" t="inlineStr">
      <is>
        <t>59 0 00 83691</t>
      </is>
    </nc>
  </rcc>
  <rrc rId="6628" sId="1" ref="A641:XFD641" action="deleteRow">
    <undo index="7" exp="ref" v="1" dr="F641" r="F595" sId="1"/>
    <undo index="7" exp="ref" v="1" dr="E641" r="E595" sId="1"/>
    <undo index="7" exp="ref" v="1" dr="D641" r="D595" sId="1"/>
    <rfmt sheetId="1" xfDxf="1" sqref="A641:XFD641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cc rId="0" sId="1" dxf="1">
      <nc r="A641" t="inlineStr">
        <is>
          <t>Расходы на модернизацию (строительство) котельных на твердом биотопливе, источником финансового обеспечения которых является специальный казначейский кредит</t>
        </is>
      </nc>
      <ndxf>
        <fill>
          <patternFill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41" t="inlineStr">
        <is>
          <t>59 0 00 97040</t>
        </is>
      </nc>
      <ndxf>
        <fill>
          <patternFill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641" start="0" length="0">
      <dxf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641">
        <f>D642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41">
        <f>E642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41">
        <f>F642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1" start="0" length="0">
      <dxf>
        <fill>
          <patternFill>
            <bgColor theme="0"/>
          </patternFill>
        </fill>
      </dxf>
    </rfmt>
    <rfmt sheetId="1" sqref="H641" start="0" length="0">
      <dxf>
        <fill>
          <patternFill>
            <bgColor theme="0"/>
          </patternFill>
        </fill>
      </dxf>
    </rfmt>
    <rfmt sheetId="1" sqref="I641" start="0" length="0">
      <dxf>
        <fill>
          <patternFill>
            <bgColor theme="0"/>
          </patternFill>
        </fill>
      </dxf>
    </rfmt>
    <rfmt sheetId="1" sqref="J641" start="0" length="0">
      <dxf>
        <fill>
          <patternFill>
            <bgColor theme="0"/>
          </patternFill>
        </fill>
      </dxf>
    </rfmt>
  </rrc>
  <rrc rId="6629" sId="1" ref="A641:XFD641" action="deleteRow">
    <rfmt sheetId="1" xfDxf="1" sqref="A641:XFD641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cc rId="0" sId="1" dxf="1">
      <nc r="A641" t="inlineStr">
        <is>
          <t>Капитальные вложения в объекты государственной (муниципальной) собственности</t>
        </is>
      </nc>
      <ndxf>
        <fill>
          <patternFill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41" t="inlineStr">
        <is>
          <t>59 0 00 97040</t>
        </is>
      </nc>
      <ndxf>
        <fill>
          <patternFill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41" t="inlineStr">
        <is>
          <t>400</t>
        </is>
      </nc>
      <ndxf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41">
        <f>D642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41">
        <f>E642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41">
        <f>F642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1" start="0" length="0">
      <dxf>
        <fill>
          <patternFill>
            <bgColor theme="0"/>
          </patternFill>
        </fill>
      </dxf>
    </rfmt>
    <rfmt sheetId="1" sqref="H641" start="0" length="0">
      <dxf>
        <fill>
          <patternFill>
            <bgColor theme="0"/>
          </patternFill>
        </fill>
      </dxf>
    </rfmt>
    <rfmt sheetId="1" sqref="I641" start="0" length="0">
      <dxf>
        <fill>
          <patternFill>
            <bgColor theme="0"/>
          </patternFill>
        </fill>
      </dxf>
    </rfmt>
    <rfmt sheetId="1" sqref="J641" start="0" length="0">
      <dxf>
        <fill>
          <patternFill>
            <bgColor theme="0"/>
          </patternFill>
        </fill>
      </dxf>
    </rfmt>
  </rrc>
  <rrc rId="6630" sId="1" ref="A641:XFD641" action="deleteRow">
    <rfmt sheetId="1" xfDxf="1" sqref="A641:XFD641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cc rId="0" sId="1" dxf="1">
      <nc r="A641" t="inlineStr">
        <is>
          <t>Бюджетные инвестиции</t>
        </is>
      </nc>
      <ndxf>
        <fill>
          <patternFill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41" t="inlineStr">
        <is>
          <t>59 0 00 97040</t>
        </is>
      </nc>
      <ndxf>
        <fill>
          <patternFill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41" t="inlineStr">
        <is>
          <t>410</t>
        </is>
      </nc>
      <ndxf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41">
        <f>D642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41">
        <f>E642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41">
        <f>F642</f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1" start="0" length="0">
      <dxf>
        <fill>
          <patternFill>
            <bgColor theme="0"/>
          </patternFill>
        </fill>
      </dxf>
    </rfmt>
    <rfmt sheetId="1" sqref="H641" start="0" length="0">
      <dxf>
        <fill>
          <patternFill>
            <bgColor theme="0"/>
          </patternFill>
        </fill>
      </dxf>
    </rfmt>
    <rfmt sheetId="1" sqref="I641" start="0" length="0">
      <dxf>
        <fill>
          <patternFill>
            <bgColor theme="0"/>
          </patternFill>
        </fill>
      </dxf>
    </rfmt>
    <rfmt sheetId="1" sqref="J641" start="0" length="0">
      <dxf>
        <fill>
          <patternFill>
            <bgColor theme="0"/>
          </patternFill>
        </fill>
      </dxf>
    </rfmt>
  </rrc>
  <rrc rId="6631" sId="1" ref="A641:XFD641" action="deleteRow">
    <rfmt sheetId="1" xfDxf="1" sqref="A641:XFD641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</dxf>
    </rfmt>
    <rcc rId="0" sId="1" dxf="1">
      <nc r="A641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ill>
          <patternFill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41" t="inlineStr">
        <is>
          <t>59 0 00 97040</t>
        </is>
      </nc>
      <ndxf>
        <fill>
          <patternFill>
            <bgColor rgb="FFFFFF0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641" t="inlineStr">
        <is>
          <t>414</t>
        </is>
      </nc>
      <ndxf>
        <fill>
          <patternFill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641">
        <v>47200000</v>
      </nc>
      <n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641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41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1" start="0" length="0">
      <dxf>
        <fill>
          <patternFill>
            <bgColor theme="0"/>
          </patternFill>
        </fill>
      </dxf>
    </rfmt>
    <rfmt sheetId="1" sqref="H641" start="0" length="0">
      <dxf>
        <fill>
          <patternFill>
            <bgColor theme="0"/>
          </patternFill>
        </fill>
      </dxf>
    </rfmt>
    <rfmt sheetId="1" sqref="I641" start="0" length="0">
      <dxf>
        <fill>
          <patternFill>
            <bgColor theme="0"/>
          </patternFill>
        </fill>
      </dxf>
    </rfmt>
    <rfmt sheetId="1" sqref="J641" start="0" length="0">
      <dxf>
        <fill>
          <patternFill>
            <bgColor theme="0"/>
          </patternFill>
        </fill>
      </dxf>
    </rfmt>
  </rrc>
  <rcc rId="6632" sId="1">
    <oc r="E600">
      <f>E601+E606+E617+E642+E634+E638</f>
    </oc>
    <nc r="E600">
      <f>E601+E606+E617+E625+E621+E610+E629+E633+E637</f>
    </nc>
  </rcc>
  <rcc rId="6633" sId="1">
    <oc r="F600">
      <f>F601+F606+F617+F642+F634+F638</f>
    </oc>
    <nc r="F600">
      <f>F601+F606+F617+F625+F621+F610+F629+F633+F637</f>
    </nc>
  </rcc>
  <rcc rId="6634" sId="1">
    <oc r="D600">
      <f>D601+D606+D617+D642+D634+D638</f>
    </oc>
    <nc r="D600">
      <f>D601+D606+D610+D617+D621+D625+D629+D633+D637</f>
    </nc>
  </rcc>
  <rrc rId="6635" sId="1" ref="A596:XFD596" action="deleteRow">
    <undo index="0" exp="ref" v="1" dr="F596" r="F595" sId="1"/>
    <undo index="0" exp="ref" v="1" dr="E596" r="E595" sId="1"/>
    <undo index="0" exp="ref" v="1" dr="D596" r="D595" sId="1"/>
    <rfmt sheetId="1" xfDxf="1" sqref="A596:XFD59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596" t="inlineStr">
        <is>
          <t>Бюджетные инвестиции в объекты капитального строительства собственности муниципальных образований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596" t="inlineStr">
        <is>
          <t>59 0 00 80310</t>
        </is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96" start="0" length="0">
      <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596">
        <f>D597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96">
        <f>E597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96">
        <f>F597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6" start="0" length="0">
      <dxf>
        <fill>
          <patternFill patternType="solid">
            <bgColor theme="0"/>
          </patternFill>
        </fill>
      </dxf>
    </rfmt>
    <rfmt sheetId="1" sqref="H596" start="0" length="0">
      <dxf>
        <fill>
          <patternFill patternType="solid">
            <bgColor theme="0"/>
          </patternFill>
        </fill>
      </dxf>
    </rfmt>
    <rfmt sheetId="1" sqref="I596" start="0" length="0">
      <dxf>
        <fill>
          <patternFill patternType="solid">
            <bgColor theme="0"/>
          </patternFill>
        </fill>
      </dxf>
    </rfmt>
    <rfmt sheetId="1" sqref="J596" start="0" length="0">
      <dxf>
        <fill>
          <patternFill patternType="solid">
            <bgColor theme="0"/>
          </patternFill>
        </fill>
      </dxf>
    </rfmt>
  </rrc>
  <rrc rId="6636" sId="1" ref="A596:XFD596" action="deleteRow">
    <rfmt sheetId="1" xfDxf="1" sqref="A596:XFD59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596" t="inlineStr">
        <is>
          <t>Капитальные вложения в объекты государственной (муниципальной) собственности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596" t="inlineStr">
        <is>
          <t>59 0 00 80310</t>
        </is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bottom style="thin">
            <color indexed="64"/>
          </bottom>
        </border>
      </ndxf>
    </rcc>
    <rcc rId="0" sId="1" s="1" dxf="1">
      <nc r="C596">
        <v>400</v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96">
        <f>D597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596">
        <f>E597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96">
        <f>F597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6" start="0" length="0">
      <dxf>
        <fill>
          <patternFill patternType="solid">
            <bgColor theme="0"/>
          </patternFill>
        </fill>
      </dxf>
    </rfmt>
    <rfmt sheetId="1" sqref="H596" start="0" length="0">
      <dxf>
        <fill>
          <patternFill patternType="solid">
            <bgColor theme="0"/>
          </patternFill>
        </fill>
      </dxf>
    </rfmt>
    <rfmt sheetId="1" sqref="I596" start="0" length="0">
      <dxf>
        <fill>
          <patternFill patternType="solid">
            <bgColor theme="0"/>
          </patternFill>
        </fill>
      </dxf>
    </rfmt>
    <rfmt sheetId="1" sqref="J596" start="0" length="0">
      <dxf>
        <fill>
          <patternFill patternType="solid">
            <bgColor theme="0"/>
          </patternFill>
        </fill>
      </dxf>
    </rfmt>
  </rrc>
  <rrc rId="6637" sId="1" ref="A596:XFD596" action="deleteRow">
    <rfmt sheetId="1" xfDxf="1" sqref="A596:XFD59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596" t="inlineStr">
        <is>
          <t>Бюджетные инвестиции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596" t="inlineStr">
        <is>
          <t>59 0 00 80310</t>
        </is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596">
        <v>410</v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96">
        <f>D597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96">
        <f>E597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96">
        <f>F597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6" start="0" length="0">
      <dxf>
        <fill>
          <patternFill patternType="solid">
            <bgColor theme="0"/>
          </patternFill>
        </fill>
      </dxf>
    </rfmt>
    <rfmt sheetId="1" sqref="H596" start="0" length="0">
      <dxf>
        <fill>
          <patternFill patternType="solid">
            <bgColor theme="0"/>
          </patternFill>
        </fill>
      </dxf>
    </rfmt>
    <rfmt sheetId="1" sqref="I596" start="0" length="0">
      <dxf>
        <fill>
          <patternFill patternType="solid">
            <bgColor theme="0"/>
          </patternFill>
        </fill>
      </dxf>
    </rfmt>
    <rfmt sheetId="1" sqref="J596" start="0" length="0">
      <dxf>
        <fill>
          <patternFill patternType="solid">
            <bgColor theme="0"/>
          </patternFill>
        </fill>
      </dxf>
    </rfmt>
  </rrc>
  <rrc rId="6638" sId="1" ref="A596:XFD596" action="deleteRow">
    <rfmt sheetId="1" xfDxf="1" sqref="A596:XFD59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596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596" t="inlineStr">
        <is>
          <t>59 0 00 80310</t>
        </is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596">
        <v>414</v>
      </nc>
      <ndxf>
        <font>
          <i val="0"/>
          <sz val="10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596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96">
        <v>0</v>
      </nc>
      <n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596">
        <v>0</v>
      </nc>
      <ndxf>
        <font>
          <b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6" start="0" length="0">
      <dxf>
        <fill>
          <patternFill patternType="solid">
            <bgColor theme="0"/>
          </patternFill>
        </fill>
      </dxf>
    </rfmt>
    <rfmt sheetId="1" sqref="H596" start="0" length="0">
      <dxf>
        <fill>
          <patternFill patternType="solid">
            <bgColor theme="0"/>
          </patternFill>
        </fill>
      </dxf>
    </rfmt>
    <rfmt sheetId="1" sqref="I596" start="0" length="0">
      <dxf>
        <fill>
          <patternFill patternType="solid">
            <bgColor theme="0"/>
          </patternFill>
        </fill>
      </dxf>
    </rfmt>
    <rfmt sheetId="1" sqref="J596" start="0" length="0">
      <dxf>
        <fill>
          <patternFill patternType="solid">
            <bgColor theme="0"/>
          </patternFill>
        </fill>
      </dxf>
    </rfmt>
  </rrc>
  <rcc rId="6639" sId="1">
    <oc r="D595">
      <f>D596+D600+#REF!+#REF!+#REF!</f>
    </oc>
    <nc r="D595">
      <f>D596</f>
    </nc>
  </rcc>
  <rcc rId="6640" sId="1">
    <oc r="E595">
      <f>E596+E600+#REF!+#REF!+#REF!</f>
    </oc>
    <nc r="E595">
      <f>E596</f>
    </nc>
  </rcc>
  <rcc rId="6641" sId="1">
    <oc r="F595">
      <f>F596+F600+#REF!+#REF!+#REF!</f>
    </oc>
    <nc r="F595">
      <f>F596</f>
    </nc>
  </rcc>
  <rfmt sheetId="1" sqref="A595:F636">
    <dxf>
      <fill>
        <patternFill patternType="none">
          <bgColor auto="1"/>
        </patternFill>
      </fill>
    </dxf>
  </rfmt>
  <rcc rId="6642" sId="1" numFmtId="34">
    <oc r="D652">
      <v>0</v>
    </oc>
    <nc r="D652">
      <v>2963993.86</v>
    </nc>
  </rcc>
  <rcc rId="6643" sId="1" numFmtId="34">
    <oc r="E652">
      <v>3383534.85</v>
    </oc>
    <nc r="E652">
      <v>3012069.96</v>
    </nc>
  </rcc>
  <rcc rId="6644" sId="1" numFmtId="34">
    <oc r="F652">
      <v>3411798.35</v>
    </oc>
    <nc r="F652">
      <v>3082942.2</v>
    </nc>
  </rcc>
  <rcc rId="6645" sId="1" numFmtId="34">
    <oc r="D656">
      <v>33955.120000000003</v>
    </oc>
    <nc r="D656">
      <v>2267.37</v>
    </nc>
  </rcc>
  <rcc rId="6646" sId="1" numFmtId="34">
    <nc r="E656">
      <v>2267.37</v>
    </nc>
  </rcc>
  <rcc rId="6647" sId="1" numFmtId="34">
    <nc r="F656">
      <v>2267.37</v>
    </nc>
  </rcc>
  <rcc rId="6648" sId="1" numFmtId="34">
    <oc r="D659">
      <f>7636954.13+3681417.62-33955.12</f>
    </oc>
    <nc r="D659">
      <v>753524.63</v>
    </nc>
  </rcc>
  <rcc rId="6649" sId="1" numFmtId="34">
    <oc r="E659">
      <v>2683652.1</v>
    </oc>
    <nc r="E659">
      <v>753524.63</v>
    </nc>
  </rcc>
  <rcc rId="6650" sId="1" numFmtId="34">
    <oc r="F659">
      <v>2683722.08</v>
    </oc>
    <nc r="F659">
      <v>753524.63</v>
    </nc>
  </rcc>
  <rcc rId="6651" sId="1" numFmtId="34">
    <oc r="D663">
      <v>5111780</v>
    </oc>
    <nc r="D663">
      <v>0</v>
    </nc>
  </rcc>
  <rcc rId="6652" sId="1" numFmtId="34">
    <oc r="E663">
      <v>5111780</v>
    </oc>
    <nc r="E663">
      <v>0</v>
    </nc>
  </rcc>
  <rcc rId="6653" sId="1" numFmtId="34">
    <oc r="F663">
      <v>5111780</v>
    </oc>
    <nc r="F663">
      <v>0</v>
    </nc>
  </rcc>
  <rrc rId="6654" sId="1" ref="A664:XFD664" action="deleteRow">
    <undo index="1" exp="ref" v="1" dr="F664" r="F647" sId="1"/>
    <undo index="1" exp="ref" v="1" dr="E664" r="E647" sId="1"/>
    <undo index="1" exp="ref" v="1" dr="D664" r="D647" sId="1"/>
    <rfmt sheetId="1" xfDxf="1" sqref="A664:XFD664" start="0" length="0">
      <dxf>
        <font>
          <name val="Times New Roman"/>
          <scheme val="none"/>
        </font>
      </dxf>
    </rfmt>
    <rcc rId="0" sId="1" dxf="1">
      <nc r="A664" t="inlineStr">
        <is>
          <t>Обеспечение равной доступности услуг общественного транспорта для категорий граждан</t>
        </is>
      </nc>
      <ndxf>
        <fill>
          <patternFill patternType="solid">
            <bgColor rgb="FFFFFF00"/>
          </patternFill>
        </fill>
        <alignment horizontal="justify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64" t="inlineStr">
        <is>
          <t>61 2 00 00000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64" start="0" length="0">
      <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664">
        <f>SUM(D665)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64">
        <f>SUM(E665)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64">
        <f>SUM(F665)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64" start="0" length="0">
      <dxf>
        <fill>
          <patternFill patternType="solid">
            <bgColor theme="0"/>
          </patternFill>
        </fill>
      </dxf>
    </rfmt>
    <rfmt sheetId="1" sqref="H664" start="0" length="0">
      <dxf>
        <fill>
          <patternFill patternType="solid">
            <bgColor theme="0"/>
          </patternFill>
        </fill>
      </dxf>
    </rfmt>
    <rfmt sheetId="1" sqref="I664" start="0" length="0">
      <dxf>
        <fill>
          <patternFill patternType="solid">
            <bgColor theme="0"/>
          </patternFill>
        </fill>
      </dxf>
    </rfmt>
    <rfmt sheetId="1" sqref="J664" start="0" length="0">
      <dxf>
        <fill>
          <patternFill patternType="solid">
            <bgColor theme="0"/>
          </patternFill>
        </fill>
      </dxf>
    </rfmt>
  </rrc>
  <rrc rId="6655" sId="1" ref="A664:XFD664" action="deleteRow">
    <rfmt sheetId="1" xfDxf="1" sqref="A664:XFD664" start="0" length="0">
      <dxf>
        <font>
          <name val="Times New Roman"/>
          <scheme val="none"/>
        </font>
      </dxf>
    </rfmt>
    <rcc rId="0" sId="1" dxf="1">
      <nc r="A664" t="inlineStr">
        <is>
      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      </is>
      </nc>
      <ndxf>
        <fill>
          <patternFill patternType="solid">
            <bgColor rgb="FFFFFF00"/>
          </patternFill>
        </fill>
        <alignment horizontal="justify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64" t="inlineStr">
        <is>
          <t>61 2 00 Э8910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64" start="0" length="0">
      <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664">
        <f>D665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64">
        <f>E665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64">
        <f>F665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64" start="0" length="0">
      <dxf>
        <fill>
          <patternFill patternType="solid">
            <bgColor theme="0"/>
          </patternFill>
        </fill>
      </dxf>
    </rfmt>
    <rfmt sheetId="1" sqref="H664" start="0" length="0">
      <dxf>
        <fill>
          <patternFill patternType="solid">
            <bgColor theme="0"/>
          </patternFill>
        </fill>
      </dxf>
    </rfmt>
    <rfmt sheetId="1" sqref="I664" start="0" length="0">
      <dxf>
        <fill>
          <patternFill patternType="solid">
            <bgColor theme="0"/>
          </patternFill>
        </fill>
      </dxf>
    </rfmt>
    <rfmt sheetId="1" sqref="J664" start="0" length="0">
      <dxf>
        <fill>
          <patternFill patternType="solid">
            <bgColor theme="0"/>
          </patternFill>
        </fill>
      </dxf>
    </rfmt>
  </rrc>
  <rrc rId="6656" sId="1" ref="A664:XFD664" action="deleteRow">
    <rfmt sheetId="1" xfDxf="1" sqref="A664:XFD664" start="0" length="0">
      <dxf>
        <font>
          <name val="Times New Roman"/>
          <scheme val="none"/>
        </font>
      </dxf>
    </rfmt>
    <rcc rId="0" sId="1" dxf="1">
      <nc r="A664" t="inlineStr">
        <is>
          <t xml:space="preserve">Иные бюджетные ассигнования 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64" t="inlineStr">
        <is>
          <t>61 2 00 Э8910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64" t="inlineStr">
        <is>
          <t>800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64">
        <f>D665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64">
        <f>E665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64">
        <f>F665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64" start="0" length="0">
      <dxf>
        <fill>
          <patternFill patternType="solid">
            <bgColor theme="0"/>
          </patternFill>
        </fill>
      </dxf>
    </rfmt>
    <rfmt sheetId="1" sqref="H664" start="0" length="0">
      <dxf>
        <fill>
          <patternFill patternType="solid">
            <bgColor theme="0"/>
          </patternFill>
        </fill>
      </dxf>
    </rfmt>
    <rfmt sheetId="1" sqref="I664" start="0" length="0">
      <dxf>
        <fill>
          <patternFill patternType="solid">
            <bgColor theme="0"/>
          </patternFill>
        </fill>
      </dxf>
    </rfmt>
    <rfmt sheetId="1" sqref="J664" start="0" length="0">
      <dxf>
        <fill>
          <patternFill patternType="solid">
            <bgColor theme="0"/>
          </patternFill>
        </fill>
      </dxf>
    </rfmt>
  </rrc>
  <rrc rId="6657" sId="1" ref="A664:XFD664" action="deleteRow">
    <rfmt sheetId="1" xfDxf="1" sqref="A664:XFD664" start="0" length="0">
      <dxf>
        <font>
          <name val="Times New Roman"/>
          <scheme val="none"/>
        </font>
      </dxf>
    </rfmt>
    <rcc rId="0" sId="1" dxf="1">
      <nc r="A664" t="inlineStr">
        <is>
  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64" t="inlineStr">
        <is>
          <t>61 2 00 Э8910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64" t="inlineStr">
        <is>
          <t>810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64">
        <f>D665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64">
        <f>E665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64">
        <f>F665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64" start="0" length="0">
      <dxf>
        <fill>
          <patternFill patternType="solid">
            <bgColor theme="0"/>
          </patternFill>
        </fill>
      </dxf>
    </rfmt>
    <rfmt sheetId="1" sqref="H664" start="0" length="0">
      <dxf>
        <fill>
          <patternFill patternType="solid">
            <bgColor theme="0"/>
          </patternFill>
        </fill>
      </dxf>
    </rfmt>
    <rfmt sheetId="1" sqref="I664" start="0" length="0">
      <dxf>
        <fill>
          <patternFill patternType="solid">
            <bgColor theme="0"/>
          </patternFill>
        </fill>
      </dxf>
    </rfmt>
    <rfmt sheetId="1" sqref="J664" start="0" length="0">
      <dxf>
        <fill>
          <patternFill patternType="solid">
            <bgColor theme="0"/>
          </patternFill>
        </fill>
      </dxf>
    </rfmt>
  </rrc>
  <rrc rId="6658" sId="1" ref="A664:XFD664" action="deleteRow">
    <rfmt sheetId="1" xfDxf="1" sqref="A664:XFD664" start="0" length="0">
      <dxf>
        <font>
          <name val="Times New Roman"/>
          <scheme val="none"/>
        </font>
      </dxf>
    </rfmt>
    <rcc rId="0" sId="1" dxf="1">
      <nc r="A664" t="inlineStr">
        <is>
  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  </is>
      </nc>
      <ndxf>
        <fill>
          <patternFill patternType="solid">
            <bgColor rgb="FFFFFF0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64" t="inlineStr">
        <is>
          <t>61 2 00 Э8910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64" t="inlineStr">
        <is>
          <t>811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664">
        <v>510676.35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664">
        <v>510676.35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664">
        <v>510676.35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64" start="0" length="0">
      <dxf>
        <fill>
          <patternFill patternType="solid">
            <bgColor theme="0"/>
          </patternFill>
        </fill>
      </dxf>
    </rfmt>
    <rfmt sheetId="1" sqref="H664" start="0" length="0">
      <dxf>
        <fill>
          <patternFill patternType="solid">
            <bgColor theme="0"/>
          </patternFill>
        </fill>
      </dxf>
    </rfmt>
    <rfmt sheetId="1" sqref="I664" start="0" length="0">
      <dxf>
        <fill>
          <patternFill patternType="solid">
            <bgColor theme="0"/>
          </patternFill>
        </fill>
      </dxf>
    </rfmt>
    <rfmt sheetId="1" sqref="J664" start="0" length="0">
      <dxf>
        <fill>
          <patternFill patternType="solid">
            <bgColor theme="0"/>
          </patternFill>
        </fill>
      </dxf>
    </rfmt>
  </rrc>
  <rcc rId="6659" sId="1">
    <oc r="D647">
      <f>D648+#REF!+D664</f>
    </oc>
    <nc r="D647">
      <f>D648+D664</f>
    </nc>
  </rcc>
  <rcc rId="6660" sId="1">
    <oc r="E647">
      <f>E648+#REF!+E664</f>
    </oc>
    <nc r="E647">
      <f>E648+E664</f>
    </nc>
  </rcc>
  <rcc rId="6661" sId="1">
    <oc r="F647">
      <f>F648+#REF!+F664</f>
    </oc>
    <nc r="F647">
      <f>F648+F664</f>
    </nc>
  </rcc>
  <rcc rId="6662" sId="1" odxf="1" dxf="1">
    <oc r="A666" t="inlineStr">
      <is>
        <t>Осуществление переданных органам местнго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    </is>
    </oc>
    <nc r="A666" t="inlineStr">
      <is>
        <t xml:space="preserve">Осуществление государственных полномочий по  организации и осуществлению деятельности по опеке и попечительству </t>
      </is>
    </nc>
    <odxf>
      <fill>
        <patternFill>
          <bgColor rgb="FFFFFF00"/>
        </patternFill>
      </fill>
      <alignment wrapText="0" readingOrder="0"/>
    </odxf>
    <ndxf>
      <fill>
        <patternFill>
          <bgColor rgb="FF92D050"/>
        </patternFill>
      </fill>
      <alignment wrapText="1" readingOrder="0"/>
    </ndxf>
  </rcc>
  <rrc rId="6663" sId="1" ref="A665:XFD665" action="deleteRow">
    <rfmt sheetId="1" xfDxf="1" sqref="A665:XFD665" start="0" length="0">
      <dxf>
        <font>
          <name val="Times New Roman"/>
          <scheme val="none"/>
        </font>
      </dxf>
    </rfmt>
    <rcc rId="0" sId="1" dxf="1">
      <nc r="A665" t="inlineStr">
        <is>
          <t>Единая субвенция</t>
        </is>
      </nc>
      <ndxf>
        <fill>
          <patternFill patternType="solid">
            <bgColor rgb="FFFFFF00"/>
          </patternFill>
        </fill>
        <alignment vertical="center" wrapText="1" readingOrder="0"/>
      </ndxf>
    </rcc>
    <rcc rId="0" sId="1" dxf="1">
      <nc r="B665" t="inlineStr">
        <is>
          <t>61 3 00 Л8790</t>
        </is>
      </nc>
      <n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65" start="0" length="0">
      <dxf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665">
        <f>D666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65">
        <f>E666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65">
        <f>F666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65" start="0" length="0">
      <dxf>
        <fill>
          <patternFill patternType="solid">
            <bgColor theme="0"/>
          </patternFill>
        </fill>
      </dxf>
    </rfmt>
    <rfmt sheetId="1" sqref="H665" start="0" length="0">
      <dxf>
        <fill>
          <patternFill patternType="solid">
            <bgColor theme="0"/>
          </patternFill>
        </fill>
      </dxf>
    </rfmt>
    <rfmt sheetId="1" sqref="I665" start="0" length="0">
      <dxf>
        <fill>
          <patternFill patternType="solid">
            <bgColor theme="0"/>
          </patternFill>
        </fill>
      </dxf>
    </rfmt>
    <rfmt sheetId="1" sqref="J665" start="0" length="0">
      <dxf>
        <fill>
          <patternFill patternType="solid">
            <bgColor theme="0"/>
          </patternFill>
        </fill>
      </dxf>
    </rfmt>
  </rrc>
  <rcc rId="6664" sId="1">
    <oc r="B665" t="inlineStr">
      <is>
        <t>61 3 00 Л8792</t>
      </is>
    </oc>
    <nc r="B665" t="inlineStr">
      <is>
        <t>61 3 00 Л8660</t>
      </is>
    </nc>
  </rcc>
  <rcc rId="6665" sId="1">
    <oc r="B666" t="inlineStr">
      <is>
        <t>61 3 00 Л8792</t>
      </is>
    </oc>
    <nc r="B666" t="inlineStr">
      <is>
        <t>61 3 00 Л8660</t>
      </is>
    </nc>
  </rcc>
  <rcc rId="6666" sId="1">
    <oc r="B667" t="inlineStr">
      <is>
        <t>61 3 00 Л8792</t>
      </is>
    </oc>
    <nc r="B667" t="inlineStr">
      <is>
        <t>61 3 00 Л8660</t>
      </is>
    </nc>
  </rcc>
  <rcc rId="6667" sId="1">
    <oc r="B668" t="inlineStr">
      <is>
        <t>61 3 00 Л8792</t>
      </is>
    </oc>
    <nc r="B668" t="inlineStr">
      <is>
        <t>61 3 00 Л8660</t>
      </is>
    </nc>
  </rcc>
  <rcc rId="6668" sId="1">
    <oc r="B669" t="inlineStr">
      <is>
        <t>61 3 00 Л8792</t>
      </is>
    </oc>
    <nc r="B669" t="inlineStr">
      <is>
        <t>61 3 00 Л8660</t>
      </is>
    </nc>
  </rcc>
  <rcc rId="6669" sId="1">
    <oc r="B670" t="inlineStr">
      <is>
        <t>61 3 00 Л8792</t>
      </is>
    </oc>
    <nc r="B670" t="inlineStr">
      <is>
        <t>61 3 00 Л8660</t>
      </is>
    </nc>
  </rcc>
  <rcc rId="6670" sId="1">
    <oc r="B671" t="inlineStr">
      <is>
        <t>61 3 00 Л8792</t>
      </is>
    </oc>
    <nc r="B671" t="inlineStr">
      <is>
        <t>61 3 00 Л8660</t>
      </is>
    </nc>
  </rcc>
  <rcc rId="6671" sId="1">
    <oc r="B672" t="inlineStr">
      <is>
        <t>61 3 00 Л8792</t>
      </is>
    </oc>
    <nc r="B672" t="inlineStr">
      <is>
        <t>61 3 00 Л8660</t>
      </is>
    </nc>
  </rcc>
  <rcc rId="6672" sId="1">
    <oc r="B673" t="inlineStr">
      <is>
        <t>61 3 00 Л8792</t>
      </is>
    </oc>
    <nc r="B673" t="inlineStr">
      <is>
        <t>61 3 00 Л8660</t>
      </is>
    </nc>
  </rcc>
  <rcc rId="6673" sId="1" numFmtId="34">
    <oc r="D668">
      <v>4991784.8</v>
    </oc>
    <nc r="D668">
      <v>5041702.6500000004</v>
    </nc>
  </rcc>
  <rcc rId="6674" sId="1" numFmtId="34">
    <oc r="E668">
      <v>5041702.6500000004</v>
    </oc>
    <nc r="E668">
      <v>5243370.75</v>
    </nc>
  </rcc>
  <rcc rId="6675" sId="1" numFmtId="34">
    <oc r="F668">
      <v>5243370.75</v>
    </oc>
    <nc r="F668">
      <v>5453125.5499999998</v>
    </nc>
  </rcc>
  <rcc rId="6676" sId="1" numFmtId="34">
    <oc r="D670">
      <v>1507519.01</v>
    </oc>
    <nc r="D670">
      <v>1522594.2</v>
    </nc>
  </rcc>
  <rcc rId="6677" sId="1" numFmtId="34">
    <oc r="E670">
      <v>1522594.2</v>
    </oc>
    <nc r="E670">
      <v>1583497.97</v>
    </nc>
  </rcc>
  <rcc rId="6678" sId="1" numFmtId="34">
    <oc r="F670">
      <v>1583497.97</v>
    </oc>
    <nc r="F670">
      <v>1646843.92</v>
    </nc>
  </rcc>
  <rcc rId="6679" sId="1" numFmtId="34">
    <oc r="D677">
      <v>137354</v>
    </oc>
    <nc r="D677">
      <v>142848</v>
    </nc>
  </rcc>
  <rcc rId="6680" sId="1" numFmtId="34">
    <oc r="E677">
      <v>112882</v>
    </oc>
    <nc r="E677">
      <v>148562</v>
    </nc>
  </rcc>
  <rcc rId="6681" sId="1" numFmtId="34">
    <oc r="F677">
      <v>112882</v>
    </oc>
    <nc r="F677">
      <v>148562</v>
    </nc>
  </rcc>
  <rfmt sheetId="1" sqref="A647:F677">
    <dxf>
      <fill>
        <patternFill patternType="none">
          <bgColor auto="1"/>
        </patternFill>
      </fill>
    </dxf>
  </rfmt>
  <rcc rId="6682" sId="1" numFmtId="34">
    <oc r="D645">
      <f>383912.82+25000</f>
    </oc>
    <nc r="D645">
      <v>109500</v>
    </nc>
  </rcc>
  <rcc rId="6683" sId="1" numFmtId="34">
    <nc r="E645">
      <v>109500</v>
    </nc>
  </rcc>
  <rcc rId="6684" sId="1" numFmtId="34">
    <nc r="F645">
      <v>109500</v>
    </nc>
  </rcc>
  <rcc rId="6685" sId="1" numFmtId="34">
    <oc r="D641">
      <v>1000</v>
    </oc>
    <nc r="D641"/>
  </rcc>
  <rcc rId="6686" sId="1" numFmtId="34">
    <oc r="D642">
      <v>46684.04</v>
    </oc>
    <nc r="D642"/>
  </rcc>
  <rcc rId="6687" sId="1" numFmtId="34">
    <oc r="D646">
      <f>180000+100000+50000+146527.67+100000+100000</f>
    </oc>
    <nc r="D646">
      <v>0</v>
    </nc>
  </rcc>
  <rcc rId="6688" sId="1" numFmtId="34">
    <nc r="E646">
      <v>0</v>
    </nc>
  </rcc>
  <rcc rId="6689" sId="1" numFmtId="34">
    <nc r="F646">
      <v>0</v>
    </nc>
  </rcc>
  <rfmt sheetId="1" sqref="A637:F646">
    <dxf>
      <fill>
        <patternFill patternType="none">
          <bgColor auto="1"/>
        </patternFill>
      </fill>
    </dxf>
  </rfmt>
  <rcc rId="6690" sId="1" numFmtId="34">
    <oc r="D682">
      <f>10934655.53+295698.92+296895.68</f>
    </oc>
    <nc r="D682">
      <v>12950681.74</v>
    </nc>
  </rcc>
  <rcc rId="6691" sId="1" numFmtId="34">
    <oc r="E682">
      <v>10934655.529999999</v>
    </oc>
    <nc r="E682">
      <v>12950681.74</v>
    </nc>
  </rcc>
  <rcc rId="6692" sId="1" numFmtId="34">
    <oc r="F682">
      <v>11044002.09</v>
    </oc>
    <nc r="F682">
      <v>13080188.560000001</v>
    </nc>
  </rcc>
  <rcc rId="6693" sId="1" numFmtId="34">
    <oc r="D683">
      <f>100000-40353.4</f>
    </oc>
    <nc r="D683">
      <v>160960</v>
    </nc>
  </rcc>
  <rcc rId="6694" sId="1" numFmtId="34">
    <oc r="E683">
      <v>100000</v>
    </oc>
    <nc r="E683">
      <v>160960</v>
    </nc>
  </rcc>
  <rcc rId="6695" sId="1" numFmtId="34">
    <oc r="F683">
      <v>100000</v>
    </oc>
    <nc r="F683">
      <v>160960</v>
    </nc>
  </rcc>
  <rcc rId="6696" sId="1" numFmtId="34">
    <oc r="D684">
      <v>3481229.54</v>
    </oc>
    <nc r="D684">
      <v>3911105.89</v>
    </nc>
  </rcc>
  <rcc rId="6697" sId="1" numFmtId="34">
    <oc r="E684">
      <v>3302265.97</v>
    </oc>
    <nc r="E684">
      <v>3911105.89</v>
    </nc>
  </rcc>
  <rcc rId="6698" sId="1" numFmtId="34">
    <oc r="F684">
      <v>3335288.63</v>
    </oc>
    <nc r="F684">
      <v>3950216.95</v>
    </nc>
  </rcc>
  <rcc rId="6699" sId="1" numFmtId="34">
    <oc r="D688">
      <f>6215375.53-446399.17+5000+45000</f>
    </oc>
    <nc r="D688">
      <v>6018334</v>
    </nc>
  </rcc>
  <rcc rId="6700" sId="1" numFmtId="34">
    <oc r="E688">
      <v>6215375.5300000003</v>
    </oc>
    <nc r="E688">
      <v>6018334</v>
    </nc>
  </rcc>
  <rcc rId="6701" sId="1" numFmtId="34">
    <oc r="F688">
      <v>6215375.5300000003</v>
    </oc>
    <nc r="F688">
      <v>6018334</v>
    </nc>
  </rcc>
  <rcc rId="6702" sId="1" numFmtId="34">
    <oc r="D689">
      <f>19945958.7-13819049.83</f>
    </oc>
    <nc r="D689">
      <v>10100286.73</v>
    </nc>
  </rcc>
  <rcc rId="6703" sId="1" numFmtId="34">
    <oc r="E689">
      <v>7209745.7300000004</v>
    </oc>
    <nc r="E689">
      <v>7168687.0899999999</v>
    </nc>
  </rcc>
  <rcc rId="6704" sId="1" numFmtId="34">
    <oc r="F689">
      <v>7209745.7300000004</v>
    </oc>
    <nc r="F689">
      <v>7168687.0899999999</v>
    </nc>
  </rcc>
  <rcc rId="6705" sId="1" numFmtId="34">
    <oc r="D687">
      <v>446399.17</v>
    </oc>
    <nc r="D687">
      <v>0</v>
    </nc>
  </rcc>
  <rcc rId="6706" sId="1" numFmtId="34">
    <oc r="D691">
      <v>77500</v>
    </oc>
    <nc r="D691">
      <v>72406</v>
    </nc>
  </rcc>
  <rcc rId="6707" sId="1" numFmtId="34">
    <oc r="E691">
      <v>77500</v>
    </oc>
    <nc r="E691">
      <v>72406</v>
    </nc>
  </rcc>
  <rcc rId="6708" sId="1" numFmtId="34">
    <oc r="F691">
      <v>77500</v>
    </oc>
    <nc r="F691">
      <v>72406</v>
    </nc>
  </rcc>
  <rfmt sheetId="1" sqref="A678:F691">
    <dxf>
      <fill>
        <patternFill patternType="none">
          <bgColor auto="1"/>
        </patternFill>
      </fill>
    </dxf>
  </rfmt>
  <rcc rId="6709" sId="1" numFmtId="34">
    <oc r="D698">
      <v>50000</v>
    </oc>
    <nc r="D698">
      <v>10000</v>
    </nc>
  </rcc>
  <rcc rId="6710" sId="1" numFmtId="34">
    <oc r="E698">
      <v>50000</v>
    </oc>
    <nc r="E698">
      <v>10000</v>
    </nc>
  </rcc>
  <rcc rId="6711" sId="1" numFmtId="34">
    <oc r="F698">
      <v>50000</v>
    </oc>
    <nc r="F698">
      <v>10000</v>
    </nc>
  </rcc>
  <rcc rId="6712" sId="1" numFmtId="34">
    <oc r="D701">
      <v>581912</v>
    </oc>
    <nc r="D701">
      <v>0</v>
    </nc>
  </rcc>
  <rrc rId="6713" sId="1" ref="A699:XFD699" action="deleteRow">
    <undo index="3" exp="ref" v="1" dr="F699" r="F692" sId="1"/>
    <undo index="3" exp="ref" v="1" dr="E699" r="E692" sId="1"/>
    <undo index="3" exp="ref" v="1" dr="D699" r="D692" sId="1"/>
    <rfmt sheetId="1" xfDxf="1" sqref="A699:XFD699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699" t="inlineStr">
        <is>
          <t>Проведение выборов в Собрание депутатов Плесецкого муниципального округа Архангельской области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99" t="inlineStr">
        <is>
          <t>64 0 00 81160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99" start="0" length="0">
      <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1" s="1" dxf="1">
      <nc r="D699">
        <f>D700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99">
        <f>E700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99">
        <f>F700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99" start="0" length="0">
      <dxf>
        <fill>
          <patternFill patternType="solid">
            <bgColor theme="0"/>
          </patternFill>
        </fill>
      </dxf>
    </rfmt>
    <rfmt sheetId="1" sqref="H699" start="0" length="0">
      <dxf>
        <fill>
          <patternFill patternType="solid">
            <bgColor theme="0"/>
          </patternFill>
        </fill>
      </dxf>
    </rfmt>
    <rfmt sheetId="1" sqref="I699" start="0" length="0">
      <dxf>
        <fill>
          <patternFill patternType="solid">
            <bgColor theme="0"/>
          </patternFill>
        </fill>
      </dxf>
    </rfmt>
    <rfmt sheetId="1" sqref="J699" start="0" length="0">
      <dxf>
        <fill>
          <patternFill patternType="solid">
            <bgColor theme="0"/>
          </patternFill>
        </fill>
      </dxf>
    </rfmt>
  </rrc>
  <rrc rId="6714" sId="1" ref="A699:XFD699" action="deleteRow">
    <rfmt sheetId="1" xfDxf="1" sqref="A699:XFD699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699" t="inlineStr">
        <is>
          <t xml:space="preserve">Иные бюджетные ассигнования 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99" t="inlineStr">
        <is>
          <t>64 0 00 81160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9">
        <v>800</v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99">
        <f>D700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99">
        <f>E700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99">
        <f>F700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99" start="0" length="0">
      <dxf>
        <fill>
          <patternFill patternType="solid">
            <bgColor theme="0"/>
          </patternFill>
        </fill>
      </dxf>
    </rfmt>
    <rfmt sheetId="1" sqref="H699" start="0" length="0">
      <dxf>
        <fill>
          <patternFill patternType="solid">
            <bgColor theme="0"/>
          </patternFill>
        </fill>
      </dxf>
    </rfmt>
    <rfmt sheetId="1" sqref="I699" start="0" length="0">
      <dxf>
        <fill>
          <patternFill patternType="solid">
            <bgColor theme="0"/>
          </patternFill>
        </fill>
      </dxf>
    </rfmt>
    <rfmt sheetId="1" sqref="J699" start="0" length="0">
      <dxf>
        <fill>
          <patternFill patternType="solid">
            <bgColor theme="0"/>
          </patternFill>
        </fill>
      </dxf>
    </rfmt>
  </rrc>
  <rrc rId="6715" sId="1" ref="A699:XFD699" action="deleteRow">
    <rfmt sheetId="1" xfDxf="1" sqref="A699:XFD699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699" t="inlineStr">
        <is>
          <t>Специальные расходы</t>
        </is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99" t="inlineStr">
        <is>
          <t>64 0 00 81160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9">
        <v>880</v>
      </nc>
      <ndxf>
        <font>
          <i val="0"/>
          <name val="Times New Roman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699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699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699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bottom style="thin">
            <color indexed="64"/>
          </bottom>
        </border>
      </ndxf>
    </rcc>
    <rfmt sheetId="1" sqref="G699" start="0" length="0">
      <dxf>
        <fill>
          <patternFill patternType="solid">
            <bgColor theme="0"/>
          </patternFill>
        </fill>
      </dxf>
    </rfmt>
    <rfmt sheetId="1" sqref="H699" start="0" length="0">
      <dxf>
        <fill>
          <patternFill patternType="solid">
            <bgColor theme="0"/>
          </patternFill>
        </fill>
      </dxf>
    </rfmt>
    <rfmt sheetId="1" sqref="I699" start="0" length="0">
      <dxf>
        <fill>
          <patternFill patternType="solid">
            <bgColor theme="0"/>
          </patternFill>
        </fill>
      </dxf>
    </rfmt>
    <rfmt sheetId="1" sqref="J699" start="0" length="0">
      <dxf>
        <fill>
          <patternFill patternType="solid">
            <bgColor theme="0"/>
          </patternFill>
        </fill>
      </dxf>
    </rfmt>
  </rrc>
  <rcc rId="6716" sId="1">
    <oc r="D692">
      <f>D694+D696+#REF!</f>
    </oc>
    <nc r="D692">
      <f>D694+D696</f>
    </nc>
  </rcc>
  <rcc rId="6717" sId="1">
    <oc r="E692">
      <f>E694+E696+#REF!</f>
    </oc>
    <nc r="E692">
      <f>E694+E696</f>
    </nc>
  </rcc>
  <rcc rId="6718" sId="1">
    <oc r="F692">
      <f>F694+F696+#REF!</f>
    </oc>
    <nc r="F692">
      <f>F694+F696</f>
    </nc>
  </rcc>
  <rfmt sheetId="1" sqref="A692:F698">
    <dxf>
      <fill>
        <patternFill patternType="none">
          <bgColor auto="1"/>
        </patternFill>
      </fill>
    </dxf>
  </rfmt>
  <rcc rId="6719" sId="1" numFmtId="34">
    <oc r="D704">
      <v>4259707</v>
    </oc>
    <nc r="D704">
      <v>5393024.4699999997</v>
    </nc>
  </rcc>
  <rcc rId="6720" sId="1" numFmtId="34">
    <oc r="E704">
      <v>4259707</v>
    </oc>
    <nc r="E704">
      <v>5393024.4699999997</v>
    </nc>
  </rcc>
  <rcc rId="6721" sId="1" numFmtId="34">
    <oc r="F704">
      <v>4302304.07</v>
    </oc>
    <nc r="F704">
      <v>5446954.71</v>
    </nc>
  </rcc>
  <rcc rId="6722" sId="1" numFmtId="34">
    <oc r="D705">
      <f>100000-56143.1</f>
    </oc>
    <nc r="D705">
      <v>136200</v>
    </nc>
  </rcc>
  <rcc rId="6723" sId="1" numFmtId="34">
    <oc r="E705">
      <v>100000</v>
    </oc>
    <nc r="E705">
      <v>136200</v>
    </nc>
  </rcc>
  <rcc rId="6724" sId="1" numFmtId="34">
    <oc r="F705">
      <v>100000</v>
    </oc>
    <nc r="F705">
      <v>136200</v>
    </nc>
  </rcc>
  <rcc rId="6725" sId="1" numFmtId="34">
    <oc r="D706">
      <v>1286431.51</v>
    </oc>
    <nc r="D706">
      <v>1628693.39</v>
    </nc>
  </rcc>
  <rcc rId="6726" sId="1" numFmtId="34">
    <oc r="E706">
      <v>1286431.51</v>
    </oc>
    <nc r="E706">
      <v>1628693.39</v>
    </nc>
  </rcc>
  <rcc rId="6727" sId="1" numFmtId="34">
    <oc r="F706">
      <v>1299295.83</v>
    </oc>
    <nc r="F706">
      <v>1644980.32</v>
    </nc>
  </rcc>
  <rfmt sheetId="1" sqref="A699:F706">
    <dxf>
      <fill>
        <patternFill patternType="none">
          <bgColor auto="1"/>
        </patternFill>
      </fill>
    </dxf>
  </rfmt>
  <rcc rId="6728" sId="1" numFmtId="34">
    <oc r="D712">
      <f>1147500+5850000</f>
    </oc>
    <nc r="D712">
      <v>0</v>
    </nc>
  </rcc>
  <rcc rId="6729" sId="1" numFmtId="34">
    <oc r="D715">
      <v>1114839.8999999999</v>
    </oc>
    <nc r="D715">
      <v>0</v>
    </nc>
  </rcc>
  <rcc rId="6730" sId="1" numFmtId="34">
    <oc r="D719">
      <f>2850000-2700000</f>
    </oc>
    <nc r="D719">
      <v>0</v>
    </nc>
  </rcc>
  <rcc rId="6731" sId="1" numFmtId="34">
    <oc r="D720">
      <f>11409500-2850000-5850000-1147500+0.89</f>
    </oc>
    <nc r="D720">
      <v>0</v>
    </nc>
  </rcc>
  <rcc rId="6732" sId="1" numFmtId="34">
    <oc r="D723">
      <f>1176775.45-1114839.9</f>
    </oc>
    <nc r="D723">
      <v>0</v>
    </nc>
  </rcc>
  <rcc rId="6733" sId="1" numFmtId="34">
    <oc r="D725">
      <v>26567.389999998733</v>
    </oc>
    <nc r="D725">
      <v>0</v>
    </nc>
  </rcc>
  <rcc rId="6734" sId="1" numFmtId="34">
    <oc r="D729">
      <v>150000</v>
    </oc>
    <nc r="D729">
      <v>0</v>
    </nc>
  </rcc>
  <rcc rId="6735" sId="1" numFmtId="34">
    <oc r="D730">
      <f>600500-150000</f>
    </oc>
    <nc r="D730">
      <v>0</v>
    </nc>
  </rcc>
  <rcc rId="6736" sId="1" numFmtId="34">
    <oc r="D733">
      <f>1176775.45-1114839.9</f>
    </oc>
    <nc r="D733">
      <v>0</v>
    </nc>
  </rcc>
  <rcc rId="6737" sId="1" numFmtId="34">
    <oc r="D735">
      <v>1398.2799999999115</v>
    </oc>
    <nc r="D735">
      <v>0</v>
    </nc>
  </rcc>
  <rcc rId="6738" sId="1" numFmtId="34">
    <oc r="D740">
      <v>495550</v>
    </oc>
    <nc r="D740">
      <v>0</v>
    </nc>
  </rcc>
  <rcc rId="6739" sId="1" numFmtId="34">
    <oc r="E742">
      <f>16629257.6-97936.02-3000000</f>
    </oc>
    <nc r="E742">
      <v>18548424.789999999</v>
    </nc>
  </rcc>
  <rcc rId="6740" sId="1" numFmtId="34">
    <oc r="F742">
      <v>34628395.039999999</v>
    </oc>
    <nc r="F742">
      <v>39186861.990000002</v>
    </nc>
  </rcc>
  <rcc rId="6741" sId="1" numFmtId="34">
    <oc r="D711">
      <v>2700000</v>
    </oc>
    <nc r="D711">
      <v>0</v>
    </nc>
  </rcc>
  <rfmt sheetId="1" sqref="A707:F744">
    <dxf>
      <fill>
        <patternFill patternType="none">
          <bgColor auto="1"/>
        </patternFill>
      </fill>
    </dxf>
  </rfmt>
  <rfmt sheetId="1" sqref="A472:F474">
    <dxf>
      <fill>
        <patternFill patternType="none">
          <bgColor auto="1"/>
        </patternFill>
      </fill>
    </dxf>
  </rfmt>
  <rcv guid="{9A752CC5-36AC-48BE-BF4B-1A38C4015906}" action="delete"/>
  <rdn rId="0" localSheetId="1" customView="1" name="Z_9A752CC5_36AC_48BE_BF4B_1A38C4015906_.wvu.PrintArea" hidden="1" oldHidden="1">
    <formula>'программы '!$A$1:$F$744</formula>
    <oldFormula>'программы '!$A$1:$F$744</oldFormula>
  </rdn>
  <rdn rId="0" localSheetId="1" customView="1" name="Z_9A752CC5_36AC_48BE_BF4B_1A38C4015906_.wvu.FilterData" hidden="1" oldHidden="1">
    <formula>'программы '!$A$11:$F$288</formula>
    <oldFormula>'программы '!$A$11:$F$288</oldFormula>
  </rdn>
  <rcv guid="{9A752CC5-36AC-48BE-BF4B-1A38C4015906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4" sId="1" numFmtId="34">
    <oc r="D259">
      <v>6128158.25</v>
    </oc>
    <nc r="D259">
      <f>6128158.25-40062</f>
    </nc>
  </rcc>
  <rfmt sheetId="1" sqref="D259">
    <dxf>
      <fill>
        <patternFill patternType="solid">
          <bgColor rgb="FFFFFF00"/>
        </patternFill>
      </fill>
    </dxf>
  </rfmt>
  <rcc rId="4695" sId="1" numFmtId="34">
    <oc r="D267">
      <v>4772643.2</v>
    </oc>
    <nc r="D267">
      <f>4772643.2+40062</f>
    </nc>
  </rcc>
  <rfmt sheetId="1" sqref="D267">
    <dxf>
      <fill>
        <patternFill patternType="solid">
          <bgColor rgb="FFFFFF00"/>
        </patternFill>
      </fill>
    </dxf>
  </rfmt>
  <rcc rId="4696" sId="1" numFmtId="34">
    <oc r="D272">
      <v>7881164.9000000004</v>
    </oc>
    <nc r="D272">
      <f>7881164.9-40468.9</f>
    </nc>
  </rcc>
  <rfmt sheetId="1" sqref="D272">
    <dxf>
      <fill>
        <patternFill patternType="solid">
          <bgColor rgb="FFFFFF00"/>
        </patternFill>
      </fill>
    </dxf>
  </rfmt>
</revisions>
</file>

<file path=xl/revisions/revisionLog121.xml><?xml version="1.0" encoding="utf-8"?>
<revisions xmlns="http://schemas.openxmlformats.org/spreadsheetml/2006/main" xmlns:r="http://schemas.openxmlformats.org/officeDocument/2006/relationships">
  <rrc rId="2689" sId="1" ref="A738:XFD740" action="insertRow"/>
  <rcc rId="2690" sId="1" odxf="1" dxf="1">
    <nc r="A738" t="inlineStr">
      <is>
        <t xml:space="preserve">Софинансирование к иным межбюджетным трансфертам на развитие  инициативных проектов </t>
      </is>
    </nc>
    <odxf>
      <fill>
        <patternFill patternType="none">
          <bgColor indexed="65"/>
        </patternFill>
      </fill>
      <alignment vertical="center" readingOrder="0"/>
      <border outline="0">
        <left/>
        <right/>
        <bottom/>
      </border>
    </odxf>
    <ndxf>
      <fill>
        <patternFill patternType="solid">
          <bgColor rgb="FF92D050"/>
        </patternFill>
      </fill>
      <alignment vertical="top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691" sId="1" odxf="1" dxf="1">
    <nc r="A739" t="inlineStr">
      <is>
        <t>Иные бюджетные ассигнования</t>
      </is>
    </nc>
    <odxf>
      <fill>
        <patternFill patternType="none">
          <bgColor indexed="65"/>
        </patternFill>
      </fill>
      <border outline="0">
        <left/>
        <right/>
        <bottom/>
      </border>
    </odxf>
    <ndxf>
      <fill>
        <patternFill patternType="solid">
          <bgColor rgb="FF92D050"/>
        </patternFill>
      </fill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692" sId="1" odxf="1" dxf="1">
    <nc r="A740" t="inlineStr">
      <is>
        <t>Резервные средства</t>
      </is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rgb="FF92D05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93" sId="1" odxf="1" dxf="1">
    <nc r="B738" t="inlineStr">
      <is>
        <t>67 0 00 88890</t>
      </is>
    </nc>
    <odxf>
      <numFmt numFmtId="0" formatCode="General"/>
      <fill>
        <patternFill patternType="none">
          <bgColor indexed="65"/>
        </patternFill>
      </fill>
      <border outline="0">
        <bottom/>
      </border>
    </odxf>
    <ndxf>
      <numFmt numFmtId="30" formatCode="@"/>
      <fill>
        <patternFill patternType="solid">
          <bgColor rgb="FF92D050"/>
        </patternFill>
      </fill>
      <border outline="0">
        <bottom style="thin">
          <color indexed="64"/>
        </bottom>
      </border>
    </ndxf>
  </rcc>
  <rfmt sheetId="1" sqref="C738" start="0" length="0">
    <dxf>
      <fill>
        <patternFill patternType="solid">
          <bgColor rgb="FF92D050"/>
        </patternFill>
      </fill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cc rId="2694" sId="1" odxf="1" dxf="1">
    <nc r="B739" t="inlineStr">
      <is>
        <t>67 0 00 88890</t>
      </is>
    </nc>
    <odxf>
      <numFmt numFmtId="0" formatCode="General"/>
      <fill>
        <patternFill patternType="none">
          <bgColor indexed="65"/>
        </patternFill>
      </fill>
      <border outline="0">
        <bottom/>
      </border>
    </odxf>
    <ndxf>
      <numFmt numFmtId="30" formatCode="@"/>
      <fill>
        <patternFill patternType="solid">
          <bgColor rgb="FF92D050"/>
        </patternFill>
      </fill>
      <border outline="0">
        <bottom style="thin">
          <color indexed="64"/>
        </bottom>
      </border>
    </ndxf>
  </rcc>
  <rcc rId="2695" sId="1" odxf="1" dxf="1" numFmtId="30">
    <nc r="C739">
      <v>800</v>
    </nc>
    <odxf>
      <fill>
        <patternFill patternType="none">
          <bgColor indexed="65"/>
        </patternFill>
      </fill>
      <border outline="0">
        <left/>
        <top/>
        <bottom/>
      </border>
    </odxf>
    <ndxf>
      <fill>
        <patternFill patternType="solid">
          <bgColor rgb="FF92D050"/>
        </patternFill>
      </fill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696" sId="1" odxf="1" dxf="1">
    <nc r="B740" t="inlineStr">
      <is>
        <t>67 0 00 88890</t>
      </is>
    </nc>
    <odxf>
      <numFmt numFmtId="0" formatCode="General"/>
      <fill>
        <patternFill patternType="none">
          <bgColor indexed="65"/>
        </patternFill>
      </fill>
      <border outline="0">
        <bottom/>
      </border>
    </odxf>
    <ndxf>
      <numFmt numFmtId="30" formatCode="@"/>
      <fill>
        <patternFill patternType="solid">
          <bgColor rgb="FF92D050"/>
        </patternFill>
      </fill>
      <border outline="0">
        <bottom style="thin">
          <color indexed="64"/>
        </bottom>
      </border>
    </ndxf>
  </rcc>
  <rcc rId="2697" sId="1" odxf="1" dxf="1">
    <nc r="C740" t="inlineStr">
      <is>
        <t>870</t>
      </is>
    </nc>
    <odxf>
      <fill>
        <patternFill patternType="none">
          <bgColor indexed="65"/>
        </patternFill>
      </fill>
      <border outline="0">
        <left/>
        <top/>
        <bottom/>
      </border>
    </odxf>
    <ndxf>
      <fill>
        <patternFill patternType="solid">
          <bgColor rgb="FF92D050"/>
        </patternFill>
      </fill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698" sId="1" numFmtId="34">
    <oc r="D737">
      <v>13276676.67</v>
    </oc>
    <nc r="D737">
      <v>12612842.84</v>
    </nc>
  </rcc>
  <rcc rId="2699" sId="1" numFmtId="34">
    <nc r="D740">
      <v>663833.82999999996</v>
    </nc>
  </rcc>
  <rcc rId="2700" sId="1">
    <nc r="D738">
      <f>D739</f>
    </nc>
  </rcc>
  <rcc rId="2701" sId="1">
    <nc r="D739">
      <f>D740</f>
    </nc>
  </rcc>
  <rcc rId="2702" sId="1">
    <nc r="E738">
      <f>E739</f>
    </nc>
  </rcc>
  <rcc rId="2703" sId="1">
    <nc r="F738">
      <f>F739</f>
    </nc>
  </rcc>
  <rcc rId="2704" sId="1">
    <nc r="E739">
      <f>E740</f>
    </nc>
  </rcc>
  <rcc rId="2705" sId="1">
    <nc r="F739">
      <f>F740</f>
    </nc>
  </rcc>
  <rcc rId="2706" sId="1" numFmtId="34">
    <nc r="E740">
      <v>0</v>
    </nc>
  </rcc>
  <rcc rId="2707" sId="1" numFmtId="34">
    <nc r="F740">
      <v>0</v>
    </nc>
  </rcc>
  <rcc rId="2708" sId="1">
    <oc r="D734">
      <f>D735</f>
    </oc>
    <nc r="D734">
      <f>D735+D738</f>
    </nc>
  </rcc>
  <rcc rId="2709" sId="1">
    <oc r="E734">
      <f>E735</f>
    </oc>
    <nc r="E734">
      <f>E735+E738</f>
    </nc>
  </rcc>
  <rcc rId="2710" sId="1">
    <oc r="F734">
      <f>F735</f>
    </oc>
    <nc r="F734">
      <f>F735+F738</f>
    </nc>
  </rcc>
  <rfmt sheetId="1" sqref="D738:D740" start="0" length="0">
    <dxf>
      <border>
        <left style="thin">
          <color indexed="64"/>
        </left>
      </border>
    </dxf>
  </rfmt>
  <rfmt sheetId="1" sqref="F738:F740" start="0" length="0">
    <dxf>
      <border>
        <right style="thin">
          <color indexed="64"/>
        </right>
      </border>
    </dxf>
  </rfmt>
  <rfmt sheetId="1" sqref="D740:F740" start="0" length="0">
    <dxf>
      <border>
        <bottom style="thin">
          <color indexed="64"/>
        </bottom>
      </border>
    </dxf>
  </rfmt>
  <rfmt sheetId="1" sqref="D738:F74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738:C740">
    <dxf>
      <fill>
        <patternFill patternType="none">
          <bgColor auto="1"/>
        </patternFill>
      </fill>
    </dxf>
  </rfmt>
  <rcv guid="{9A752CC5-36AC-48BE-BF4B-1A38C4015906}" action="delete"/>
  <rdn rId="0" localSheetId="1" customView="1" name="Z_9A752CC5_36AC_48BE_BF4B_1A38C4015906_.wvu.FilterData" hidden="1" oldHidden="1">
    <formula>'программы '!$A$1:$A$757</formula>
    <oldFormula>'программы '!$A$1:$A$757</oldFormula>
  </rdn>
  <rcv guid="{9A752CC5-36AC-48BE-BF4B-1A38C4015906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687" sId="1" numFmtId="34">
    <oc r="D598">
      <v>16008611.709999999</v>
    </oc>
    <nc r="D598">
      <f>16008611.71-2100000</f>
    </nc>
  </rcc>
  <rcv guid="{9A752CC5-36AC-48BE-BF4B-1A38C4015906}" action="delete"/>
  <rdn rId="0" localSheetId="1" customView="1" name="Z_9A752CC5_36AC_48BE_BF4B_1A38C4015906_.wvu.FilterData" hidden="1" oldHidden="1">
    <formula>'программы '!$A$1:$A$754</formula>
    <oldFormula>'программы '!$A$1:$A$754</oldFormula>
  </rdn>
  <rcv guid="{9A752CC5-36AC-48BE-BF4B-1A38C4015906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2598" sId="1">
    <oc r="B658" t="inlineStr">
      <is>
        <t>59 0 00 83690</t>
      </is>
    </oc>
    <nc r="B658" t="inlineStr">
      <is>
        <t>59 0 00 83691</t>
      </is>
    </nc>
  </rcc>
  <rcc rId="2599" sId="1">
    <oc r="B659" t="inlineStr">
      <is>
        <t>59 0 00 83690</t>
      </is>
    </oc>
    <nc r="B659" t="inlineStr">
      <is>
        <t>59 0 00 83691</t>
      </is>
    </nc>
  </rcc>
  <rcc rId="2600" sId="1">
    <oc r="B660" t="inlineStr">
      <is>
        <t>59 0 00 83690</t>
      </is>
    </oc>
    <nc r="B660" t="inlineStr">
      <is>
        <t>59 0 00 83691</t>
      </is>
    </nc>
  </rcc>
  <rfmt sheetId="1" sqref="B621:D621" start="0" length="0">
    <dxf>
      <border>
        <bottom style="thin">
          <color indexed="64"/>
        </bottom>
      </border>
    </dxf>
  </rfmt>
  <rfmt sheetId="1" sqref="B621:D62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2601" sId="1" ref="A101:XFD104" action="insertRow">
    <undo index="0" exp="area" ref3D="1" dr="$A$222:$XFD$226" dn="Z_30E81E54_DD45_4653_9DCD_548F6723F554_.wvu.Rows" sId="1"/>
  </rrc>
  <rrc rId="2602" sId="1" ref="A101:XFD104" action="insertRow">
    <undo index="0" exp="area" ref3D="1" dr="$A$226:$XFD$230" dn="Z_30E81E54_DD45_4653_9DCD_548F6723F554_.wvu.Rows" sId="1"/>
  </rrc>
  <rcc rId="2603" sId="1" odxf="1" dxf="1">
    <nc r="A101" t="inlineStr">
      <is>
        <t>Создание новых мест в общеобразовательных организациях, расположенных в сельской местности и поселках городского типа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color indexed="8"/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04" sId="1" odxf="1" dxf="1">
    <nc r="A102" t="inlineStr">
      <is>
        <t>Капитальные вложения в объекты государственной (муниципальной) собственности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05" sId="1" odxf="1" dxf="1">
    <nc r="A103" t="inlineStr">
      <is>
        <t>Бюджетные инвестиции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06" sId="1" odxf="1" dxf="1">
    <nc r="A104" t="inlineStr">
      <is>
        <t>Бюджетные инвестиции в объекты капитального строительства государственной (муниципальной) собственности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07" sId="1" odxf="1" dxf="1">
    <nc r="B101" t="inlineStr">
      <is>
        <t>03 2 Е1 52301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fmt sheetId="1" sqref="C101" start="0" length="0">
    <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dxf>
  </rfmt>
  <rcc rId="2608" sId="1" odxf="1" dxf="1">
    <nc r="B102" t="inlineStr">
      <is>
        <t>03 2 Е1 52301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09" sId="1" odxf="1" dxf="1">
    <nc r="C102">
      <v>400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10" sId="1" odxf="1" dxf="1">
    <nc r="B103" t="inlineStr">
      <is>
        <t>03 2 Е1 52301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11" sId="1" odxf="1" dxf="1">
    <nc r="C103">
      <v>410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12" sId="1" odxf="1" dxf="1">
    <nc r="B104" t="inlineStr">
      <is>
        <t>03 2 Е1 52301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13" sId="1" odxf="1" dxf="1">
    <nc r="C104">
      <v>414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14" sId="1" numFmtId="34">
    <nc r="D104">
      <v>84058344.049999997</v>
    </nc>
  </rcc>
  <rcc rId="2615" sId="1">
    <nc r="D101">
      <f>D102</f>
    </nc>
  </rcc>
  <rcc rId="2616" sId="1">
    <nc r="D102">
      <f>D103</f>
    </nc>
  </rcc>
  <rcc rId="2617" sId="1">
    <nc r="D103">
      <f>D104</f>
    </nc>
  </rcc>
  <rcc rId="2618" sId="1">
    <nc r="E101">
      <f>E102</f>
    </nc>
  </rcc>
  <rcc rId="2619" sId="1">
    <nc r="E102">
      <f>E103</f>
    </nc>
  </rcc>
  <rcc rId="2620" sId="1">
    <nc r="E103">
      <f>E104</f>
    </nc>
  </rcc>
  <rcc rId="2621" sId="1">
    <nc r="F101">
      <f>F102</f>
    </nc>
  </rcc>
  <rcc rId="2622" sId="1">
    <nc r="F102">
      <f>F103</f>
    </nc>
  </rcc>
  <rcc rId="2623" sId="1">
    <nc r="F103">
      <f>F104</f>
    </nc>
  </rcc>
  <rcc rId="2624" sId="1" numFmtId="34">
    <nc r="E104">
      <v>0</v>
    </nc>
  </rcc>
  <rcc rId="2625" sId="1" numFmtId="34">
    <nc r="F104">
      <v>0</v>
    </nc>
  </rcc>
  <rcc rId="2626" sId="1" odxf="1" dxf="1">
    <nc r="A105" t="inlineStr">
      <is>
        <t>Создание новых мест в общеобразовательных организациях, расположенных в сельской местности и поселках городского типа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color indexed="8"/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27" sId="1" odxf="1" dxf="1">
    <nc r="A106" t="inlineStr">
      <is>
        <t>Капитальные вложения в объекты государственной (муниципальной) собственности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28" sId="1" odxf="1" dxf="1">
    <nc r="A107" t="inlineStr">
      <is>
        <t>Бюджетные инвестиции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29" sId="1" odxf="1" dxf="1">
    <nc r="A108" t="inlineStr">
      <is>
        <t>Бюджетные инвестиции в объекты капитального строительства государственной (муниципальной) собственности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30" sId="1" odxf="1" dxf="1">
    <nc r="B105" t="inlineStr">
      <is>
        <t>03 2 Е1 S2301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fmt sheetId="1" sqref="C105" start="0" length="0">
    <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dxf>
  </rfmt>
  <rcc rId="2631" sId="1" odxf="1" dxf="1">
    <nc r="B106" t="inlineStr">
      <is>
        <t>03 2 Е1 S2301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32" sId="1" odxf="1" dxf="1">
    <nc r="C106">
      <v>400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33" sId="1" odxf="1" dxf="1">
    <nc r="B107" t="inlineStr">
      <is>
        <t>03 2 Е1 S2301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34" sId="1" odxf="1" dxf="1">
    <nc r="C107">
      <v>410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35" sId="1" odxf="1" dxf="1">
    <nc r="B108" t="inlineStr">
      <is>
        <t>03 2 Е1 S2301</t>
      </is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thin">
          <color indexed="64"/>
        </left>
        <right style="thin">
          <color indexed="64"/>
        </right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left/>
        <right/>
      </border>
    </ndxf>
  </rcc>
  <rcc rId="2636" sId="1" odxf="1" dxf="1">
    <nc r="C108">
      <v>414</v>
    </nc>
    <odxf>
      <font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top style="thin">
          <color indexed="64"/>
        </top>
      </border>
    </odxf>
    <ndxf>
      <font>
        <name val="Times New Roman Cyr"/>
        <scheme val="none"/>
      </font>
      <fill>
        <patternFill patternType="solid">
          <bgColor indexed="13"/>
        </patternFill>
      </fill>
      <alignment vertical="center" readingOrder="0"/>
      <border outline="0">
        <top/>
      </border>
    </ndxf>
  </rcc>
  <rcc rId="2637" sId="1" numFmtId="34">
    <oc r="D100">
      <f>258163.03+111540.89</f>
    </oc>
    <nc r="D100">
      <v>0</v>
    </nc>
  </rcc>
  <rcc rId="2638" sId="1" numFmtId="34">
    <oc r="E100">
      <f>271767.9+97936.02</f>
    </oc>
    <nc r="E100">
      <v>0</v>
    </nc>
  </rcc>
  <rrc rId="2639" sId="1" ref="A97:XFD97" action="deleteRow">
    <undo index="0" exp="ref" v="1" dr="F97" r="F96" sId="1"/>
    <undo index="0" exp="ref" v="1" dr="E97" r="E96" sId="1"/>
    <undo index="0" exp="ref" v="1" dr="D97" r="D96" sId="1"/>
    <undo index="0" exp="area" ref3D="1" dr="$A$230:$XFD$234" dn="Z_30E81E54_DD45_4653_9DCD_548F6723F554_.wvu.Rows" sId="1"/>
    <rfmt sheetId="1" xfDxf="1" sqref="A97:XFD97" start="0" length="0">
      <dxf>
        <font>
          <name val="Times New Roman"/>
          <scheme val="none"/>
        </font>
        <alignment vertical="center" readingOrder="0"/>
      </dxf>
    </rfmt>
    <rcc rId="0" sId="1" dxf="1">
      <nc r="A97" t="inlineStr">
        <is>
          <t>Создание новых мест в общеобразовательных организациях, расположенных в сельской местности и поселках городского типа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03 2 Е1 52300</t>
        </is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7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97">
        <f>D98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97">
        <f>E98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97">
        <f>F98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0" sId="1" ref="A97:XFD97" action="deleteRow">
    <undo index="0" exp="area" ref3D="1" dr="$A$229:$XFD$233" dn="Z_30E81E54_DD45_4653_9DCD_548F6723F554_.wvu.Rows" sId="1"/>
    <rfmt sheetId="1" xfDxf="1" sqref="A97:XFD97" start="0" length="0">
      <dxf>
        <font>
          <name val="Times New Roman"/>
          <scheme val="none"/>
        </font>
        <alignment vertical="center" readingOrder="0"/>
      </dxf>
    </rfmt>
    <rcc rId="0" sId="1" dxf="1">
      <nc r="A97" t="inlineStr">
        <is>
          <t>Капитальные вложения в объекты государственной (муниципальной) собственности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03 2 Е1 52300</t>
        </is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>
        <v>400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97">
        <f>D98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97">
        <f>E98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97">
        <f>F98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1" sId="1" ref="A97:XFD97" action="deleteRow">
    <undo index="0" exp="area" ref3D="1" dr="$A$228:$XFD$232" dn="Z_30E81E54_DD45_4653_9DCD_548F6723F554_.wvu.Rows" sId="1"/>
    <rfmt sheetId="1" xfDxf="1" sqref="A97:XFD97" start="0" length="0">
      <dxf>
        <font>
          <name val="Times New Roman"/>
          <scheme val="none"/>
        </font>
        <alignment vertical="center" readingOrder="0"/>
      </dxf>
    </rfmt>
    <rcc rId="0" sId="1" dxf="1">
      <nc r="A97" t="inlineStr">
        <is>
          <t>Бюджетные инвестиции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03 2 Е1 52300</t>
        </is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>
        <v>410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97">
        <f>D98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97">
        <f>E98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97">
        <f>F98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2" sId="1" ref="A97:XFD97" action="deleteRow">
    <undo index="0" exp="area" ref3D="1" dr="$A$227:$XFD$231" dn="Z_30E81E54_DD45_4653_9DCD_548F6723F554_.wvu.Rows" sId="1"/>
    <rfmt sheetId="1" xfDxf="1" sqref="A97:XFD97" start="0" length="0">
      <dxf>
        <font>
          <name val="Times New Roman"/>
          <scheme val="none"/>
        </font>
        <alignment vertical="center" readingOrder="0"/>
      </dxf>
    </rfmt>
    <rcc rId="0" sId="1" dxf="1">
      <nc r="A97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03 2 Е1 52300</t>
        </is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>
        <v>414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9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9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97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43" sId="1">
    <oc r="D96">
      <f>#REF!</f>
    </oc>
    <nc r="D96">
      <f>D97+D101</f>
    </nc>
  </rcc>
  <rcc rId="2644" sId="1">
    <oc r="E96">
      <f>#REF!</f>
    </oc>
    <nc r="E96">
      <f>E97+E101</f>
    </nc>
  </rcc>
  <rcc rId="2645" sId="1">
    <oc r="F96">
      <f>#REF!</f>
    </oc>
    <nc r="F96">
      <f>F97+F101</f>
    </nc>
  </rcc>
  <rfmt sheetId="1" sqref="D104" start="0" length="0">
    <dxf>
      <numFmt numFmtId="167" formatCode="_(* #,##0.00_);_(* \(#,##0.00\);_(* &quot;-&quot;??_);_(@_)"/>
      <fill>
        <patternFill patternType="solid">
          <bgColor indexed="13"/>
        </patternFill>
      </fill>
      <alignment horizontal="center" readingOrder="0"/>
    </dxf>
  </rfmt>
  <rcc rId="2646" sId="1" numFmtId="34">
    <nc r="D104">
      <v>85139959.870000005</v>
    </nc>
  </rcc>
  <rcc rId="2647" sId="1" numFmtId="34">
    <nc r="E104">
      <v>369703.92</v>
    </nc>
  </rcc>
  <rcc rId="2648" sId="1">
    <nc r="D101">
      <f>D102</f>
    </nc>
  </rcc>
  <rcc rId="2649" sId="1">
    <nc r="D102">
      <f>D103</f>
    </nc>
  </rcc>
  <rcc rId="2650" sId="1">
    <nc r="D103">
      <f>D104</f>
    </nc>
  </rcc>
  <rcc rId="2651" sId="1">
    <nc r="E101">
      <f>E102</f>
    </nc>
  </rcc>
  <rcc rId="2652" sId="1">
    <nc r="F101">
      <f>F102</f>
    </nc>
  </rcc>
  <rcc rId="2653" sId="1">
    <nc r="E102">
      <f>E103</f>
    </nc>
  </rcc>
  <rcc rId="2654" sId="1">
    <nc r="F102">
      <f>F103</f>
    </nc>
  </rcc>
  <rcc rId="2655" sId="1">
    <nc r="E103">
      <f>E104</f>
    </nc>
  </rcc>
  <rcc rId="2656" sId="1">
    <nc r="F103">
      <f>F104</f>
    </nc>
  </rcc>
  <rfmt sheetId="1" sqref="A97:D104">
    <dxf>
      <fill>
        <patternFill patternType="none">
          <bgColor auto="1"/>
        </patternFill>
      </fill>
    </dxf>
  </rfmt>
  <rcc rId="2657" sId="1" numFmtId="34">
    <oc r="D205">
      <v>860030</v>
    </oc>
    <nc r="D205">
      <v>1824193.22</v>
    </nc>
  </rcc>
  <rrc rId="2658" sId="1" ref="A559:XFD563" action="insertRow"/>
  <rcc rId="2659" sId="1" odxf="1" dxf="1">
    <nc r="A559" t="inlineStr">
      <is>
    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660" sId="1" odxf="1" dxf="1">
    <nc r="A560" t="inlineStr">
      <is>
        <t>Закупка товаров, работ и услуг для обеспечения государственных (муниципальных) нужд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661" sId="1" odxf="1" dxf="1">
    <nc r="A561" t="inlineStr">
      <is>
        <t>Иные закупки товаров,работ и услуг для обеспечения государственных (муниципальных) нужд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662" sId="1" odxf="1" dxf="1">
    <nc r="A562" t="inlineStr">
      <is>
        <t xml:space="preserve">Прочая закупка товаров, работ и услуг </t>
      </is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indexed="9"/>
        </patternFill>
      </fill>
      <alignment wrapText="1" readingOrder="0"/>
    </ndxf>
  </rcc>
  <rrc rId="2663" sId="1" ref="A563:XFD563" action="deleteRow">
    <rfmt sheetId="1" xfDxf="1" sqref="A563:XFD563" start="0" length="0">
      <dxf>
        <font>
          <name val="Times New Roman"/>
          <scheme val="none"/>
        </font>
      </dxf>
    </rfmt>
    <rfmt sheetId="1" sqref="A563" start="0" length="0">
      <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563" start="0" length="0">
      <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563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="1" sqref="E563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="1" sqref="F563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</rrc>
  <rcc rId="2664" sId="1" odxf="1" dxf="1">
    <nc r="B559" t="inlineStr">
      <is>
        <t>54 1 00 Л8690</t>
      </is>
    </nc>
    <odxf>
      <fill>
        <patternFill patternType="none">
          <bgColor indexed="65"/>
        </patternFill>
      </fill>
      <border outline="0">
        <top style="thin">
          <color indexed="64"/>
        </top>
      </border>
    </odxf>
    <ndxf>
      <fill>
        <patternFill patternType="solid">
          <bgColor indexed="9"/>
        </patternFill>
      </fill>
      <border outline="0">
        <top/>
      </border>
    </ndxf>
  </rcc>
  <rfmt sheetId="1" sqref="C559" start="0" length="0">
    <dxf>
      <numFmt numFmtId="30" formatCode="@"/>
      <fill>
        <patternFill patternType="solid">
          <bgColor indexed="9"/>
        </patternFill>
      </fill>
    </dxf>
  </rfmt>
  <rcc rId="2665" sId="1" odxf="1" dxf="1">
    <nc r="B560" t="inlineStr">
      <is>
        <t>54 1 00 Л8690</t>
      </is>
    </nc>
    <odxf>
      <fill>
        <patternFill patternType="none">
          <bgColor indexed="65"/>
        </patternFill>
      </fill>
      <border outline="0">
        <top style="thin">
          <color indexed="64"/>
        </top>
      </border>
    </odxf>
    <ndxf>
      <fill>
        <patternFill patternType="solid">
          <bgColor indexed="9"/>
        </patternFill>
      </fill>
      <border outline="0">
        <top/>
      </border>
    </ndxf>
  </rcc>
  <rcc rId="2666" sId="1" odxf="1" dxf="1">
    <nc r="C560" t="inlineStr">
      <is>
        <t>200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indexed="9"/>
        </patternFill>
      </fill>
    </ndxf>
  </rcc>
  <rcc rId="2667" sId="1" odxf="1" dxf="1">
    <nc r="B561" t="inlineStr">
      <is>
        <t>54 1 00 Л8690</t>
      </is>
    </nc>
    <odxf>
      <fill>
        <patternFill patternType="none">
          <bgColor indexed="65"/>
        </patternFill>
      </fill>
      <border outline="0">
        <top style="thin">
          <color indexed="64"/>
        </top>
      </border>
    </odxf>
    <ndxf>
      <fill>
        <patternFill patternType="solid">
          <bgColor indexed="9"/>
        </patternFill>
      </fill>
      <border outline="0">
        <top/>
      </border>
    </ndxf>
  </rcc>
  <rcc rId="2668" sId="1" odxf="1" dxf="1">
    <nc r="C561" t="inlineStr">
      <is>
        <t>240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indexed="9"/>
        </patternFill>
      </fill>
    </ndxf>
  </rcc>
  <rcc rId="2669" sId="1" odxf="1" dxf="1">
    <nc r="B562" t="inlineStr">
      <is>
        <t>54 1 00 Л8690</t>
      </is>
    </nc>
    <odxf>
      <fill>
        <patternFill patternType="none">
          <bgColor indexed="65"/>
        </patternFill>
      </fill>
      <border outline="0">
        <top style="thin">
          <color indexed="64"/>
        </top>
      </border>
    </odxf>
    <ndxf>
      <fill>
        <patternFill patternType="solid">
          <bgColor indexed="9"/>
        </patternFill>
      </fill>
      <border outline="0">
        <top/>
      </border>
    </ndxf>
  </rcc>
  <rcc rId="2670" sId="1" odxf="1" dxf="1">
    <nc r="C562" t="inlineStr">
      <is>
        <t>244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indexed="9"/>
        </patternFill>
      </fill>
    </ndxf>
  </rcc>
  <rcc rId="2671" sId="1" numFmtId="34">
    <nc r="D562">
      <v>28000</v>
    </nc>
  </rcc>
  <rcc rId="2672" sId="1" numFmtId="34">
    <nc r="E562">
      <v>28000</v>
    </nc>
  </rcc>
  <rcc rId="2673" sId="1" numFmtId="34">
    <nc r="F562">
      <v>28000</v>
    </nc>
  </rcc>
  <rcc rId="2674" sId="1">
    <nc r="D559">
      <f>D560</f>
    </nc>
  </rcc>
  <rcc rId="2675" sId="1">
    <nc r="D560">
      <f>D561</f>
    </nc>
  </rcc>
  <rcc rId="2676" sId="1">
    <nc r="D561">
      <f>D562</f>
    </nc>
  </rcc>
  <rcc rId="2677" sId="1">
    <nc r="E559">
      <f>E560</f>
    </nc>
  </rcc>
  <rcc rId="2678" sId="1">
    <nc r="F559">
      <f>F560</f>
    </nc>
  </rcc>
  <rcc rId="2679" sId="1">
    <nc r="E560">
      <f>E561</f>
    </nc>
  </rcc>
  <rcc rId="2680" sId="1">
    <nc r="F560">
      <f>F561</f>
    </nc>
  </rcc>
  <rcc rId="2681" sId="1">
    <nc r="E561">
      <f>E562</f>
    </nc>
  </rcc>
  <rcc rId="2682" sId="1">
    <nc r="F561">
      <f>F562</f>
    </nc>
  </rcc>
  <rcc rId="2683" sId="1">
    <oc r="D550">
      <f>D582+D563+D551+D555</f>
    </oc>
    <nc r="D550">
      <f>D582+D563+D551+D555+D559</f>
    </nc>
  </rcc>
  <rcc rId="2684" sId="1">
    <oc r="E550">
      <f>E582+E563+E551+E555</f>
    </oc>
    <nc r="E550">
      <f>E582+E563+E551+E555+E559</f>
    </nc>
  </rcc>
  <rcc rId="2685" sId="1">
    <oc r="F550">
      <f>F582+F563+F551+F555</f>
    </oc>
    <nc r="F550">
      <f>F582+F563+F551+F555+F559</f>
    </nc>
  </rcc>
  <rfmt sheetId="1" sqref="A559">
    <dxf>
      <fill>
        <patternFill patternType="none">
          <bgColor auto="1"/>
        </patternFill>
      </fill>
    </dxf>
  </rfmt>
  <rcv guid="{9A752CC5-36AC-48BE-BF4B-1A38C4015906}" action="delete"/>
  <rdn rId="0" localSheetId="1" customView="1" name="Z_9A752CC5_36AC_48BE_BF4B_1A38C4015906_.wvu.FilterData" hidden="1" oldHidden="1">
    <formula>'программы '!$A$1:$A$754</formula>
    <oldFormula>'программы '!$B$1:$B$749</oldFormula>
  </rdn>
  <rcv guid="{9A752CC5-36AC-48BE-BF4B-1A38C4015906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4601" sId="1">
    <oc r="D602">
      <f>10307073.16</f>
    </oc>
    <nc r="D602">
      <f>10307073.16+396451.39</f>
    </nc>
  </rcc>
  <rcc rId="4602" sId="1" numFmtId="34">
    <oc r="D604">
      <v>3112736.09</v>
    </oc>
    <nc r="D604">
      <f>3112736.09+119728.31</f>
    </nc>
  </rcc>
  <rcc rId="4603" sId="1" numFmtId="34">
    <oc r="D706">
      <v>95677615.829999998</v>
    </oc>
    <nc r="D706">
      <f>95677615.83-396451.39</f>
    </nc>
  </rcc>
  <rcc rId="4604" sId="1" numFmtId="34">
    <oc r="D708">
      <v>28894640.000000004</v>
    </oc>
    <nc r="D708">
      <f>28894640-119728.31</f>
    </nc>
  </rcc>
  <rfmt sheetId="1" sqref="A1:F1048576">
    <dxf>
      <fill>
        <patternFill patternType="none">
          <bgColor auto="1"/>
        </patternFill>
      </fill>
    </dxf>
  </rfmt>
  <rcv guid="{9A752CC5-36AC-48BE-BF4B-1A38C4015906}" action="delete"/>
  <rdn rId="0" localSheetId="1" customView="1" name="Z_9A752CC5_36AC_48BE_BF4B_1A38C4015906_.wvu.PrintArea" hidden="1" oldHidden="1">
    <formula>'программы '!$A$1:$F$937</formula>
  </rdn>
  <rdn rId="0" localSheetId="1" customView="1" name="Z_9A752CC5_36AC_48BE_BF4B_1A38C4015906_.wvu.Rows" hidden="1" oldHidden="1">
    <formula>'программы '!$75:$78,'программы '!$162:$165,'программы '!$327:$330,'программы '!$348:$350,'программы '!$528:$531,'программы '!$542:$545,'программы '!$579:$580,'программы '!$794:$797,'программы '!$840:$843</formula>
    <oldFormula>'программы '!$75:$78,'программы '!$162:$165,'программы '!$327:$330,'программы '!$348:$350,'программы '!$528:$531,'программы '!$542:$545,'программы '!$579:$580,'программы '!$794:$797,'программы '!$840:$843</oldFormula>
  </rdn>
  <rdn rId="0" localSheetId="1" customView="1" name="Z_9A752CC5_36AC_48BE_BF4B_1A38C4015906_.wvu.FilterData" hidden="1" oldHidden="1">
    <formula>'программы '!$C$1:$C$945</formula>
    <oldFormula>'программы '!$C$1:$C$945</oldFormula>
  </rdn>
  <rcv guid="{9A752CC5-36AC-48BE-BF4B-1A38C4015906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rc rId="2712" sId="1" ref="A1:XFD4" action="insertRow">
    <undo index="0" exp="area" ref3D="1" dr="$A$226:$XFD$230" dn="Z_30E81E54_DD45_4653_9DCD_548F6723F554_.wvu.Rows" sId="1"/>
  </rrc>
  <rfmt sheetId="1" s="1" sqref="A1" start="0" length="0">
    <dxf>
      <font>
        <sz val="10"/>
        <color auto="1"/>
        <name val="Times New Roman"/>
        <scheme val="none"/>
      </font>
      <alignment horizontal="right" readingOrder="0"/>
    </dxf>
  </rfmt>
  <rfmt sheetId="1" s="1" sqref="B1" start="0" length="0">
    <dxf>
      <font>
        <sz val="10"/>
        <color auto="1"/>
        <name val="Times New Roman"/>
        <scheme val="none"/>
      </font>
      <alignment horizontal="right" readingOrder="0"/>
    </dxf>
  </rfmt>
  <rfmt sheetId="1" s="1" sqref="C1" start="0" length="0">
    <dxf>
      <font>
        <sz val="10"/>
        <color auto="1"/>
        <name val="Times New Roman"/>
        <scheme val="none"/>
      </font>
      <alignment horizontal="right" readingOrder="0"/>
    </dxf>
  </rfmt>
  <rfmt sheetId="1" s="1" sqref="D1" start="0" length="0">
    <dxf>
      <font>
        <sz val="10"/>
        <color auto="1"/>
        <name val="Times New Roman"/>
        <scheme val="none"/>
      </font>
      <numFmt numFmtId="0" formatCode="General"/>
      <alignment horizontal="right" readingOrder="0"/>
    </dxf>
  </rfmt>
  <rfmt sheetId="1" s="1" sqref="E1" start="0" length="0">
    <dxf>
      <font>
        <sz val="10"/>
        <color auto="1"/>
        <name val="Times New Roman"/>
        <scheme val="none"/>
      </font>
      <numFmt numFmtId="0" formatCode="General"/>
      <alignment horizontal="right" readingOrder="0"/>
    </dxf>
  </rfmt>
  <rfmt sheetId="1" s="1" sqref="F1" start="0" length="0">
    <dxf>
      <font>
        <sz val="10"/>
        <color auto="1"/>
        <name val="Times New Roman"/>
        <scheme val="none"/>
      </font>
      <numFmt numFmtId="0" formatCode="General"/>
      <alignment horizontal="right" readingOrder="0"/>
    </dxf>
  </rfmt>
  <rfmt sheetId="1" s="1" sqref="A2" start="0" length="0">
    <dxf>
      <font>
        <sz val="10"/>
        <color auto="1"/>
        <name val="Times New Roman"/>
        <scheme val="none"/>
      </font>
      <numFmt numFmtId="30" formatCode="@"/>
      <alignment horizontal="right" readingOrder="0"/>
    </dxf>
  </rfmt>
  <rfmt sheetId="1" s="1" sqref="B2" start="0" length="0">
    <dxf>
      <font>
        <sz val="10"/>
        <color auto="1"/>
        <name val="Times New Roman"/>
        <scheme val="none"/>
      </font>
      <numFmt numFmtId="30" formatCode="@"/>
      <alignment horizontal="right" readingOrder="0"/>
    </dxf>
  </rfmt>
  <rfmt sheetId="1" sqref="C2" start="0" length="0">
    <dxf>
      <font>
        <sz val="11"/>
        <name val="Times New Roman"/>
        <scheme val="none"/>
      </font>
      <alignment horizontal="right" readingOrder="0"/>
    </dxf>
  </rfmt>
  <rfmt sheetId="1" sqref="D2" start="0" length="0">
    <dxf>
      <font>
        <sz val="11"/>
        <name val="Times New Roman"/>
        <scheme val="none"/>
      </font>
      <alignment horizontal="right" readingOrder="0"/>
    </dxf>
  </rfmt>
  <rfmt sheetId="1" sqref="E2" start="0" length="0">
    <dxf>
      <font>
        <sz val="11"/>
        <name val="Times New Roman"/>
        <scheme val="none"/>
      </font>
      <alignment horizontal="right" readingOrder="0"/>
    </dxf>
  </rfmt>
  <rcc rId="2713" sId="1" odxf="1" dxf="1">
    <nc r="F2" t="inlineStr">
      <is>
        <t>к решению собрания депутатов</t>
      </is>
    </nc>
    <odxf>
      <font>
        <sz val="11"/>
        <name val="Times New Roman"/>
        <scheme val="none"/>
      </font>
      <alignment horizontal="general" readingOrder="0"/>
    </odxf>
    <ndxf>
      <font>
        <sz val="11"/>
        <name val="Times New Roman"/>
        <scheme val="none"/>
      </font>
      <alignment horizontal="right" readingOrder="0"/>
    </ndxf>
  </rcc>
  <rfmt sheetId="1" s="1" sqref="A3" start="0" length="0">
    <dxf>
      <font>
        <sz val="10"/>
        <color auto="1"/>
        <name val="Times New Roman"/>
        <scheme val="none"/>
      </font>
      <numFmt numFmtId="30" formatCode="@"/>
      <alignment horizontal="right" wrapText="1" readingOrder="0"/>
    </dxf>
  </rfmt>
  <rfmt sheetId="1" s="1" sqref="B3" start="0" length="0">
    <dxf>
      <font>
        <sz val="10"/>
        <color auto="1"/>
        <name val="Times New Roman"/>
        <scheme val="none"/>
      </font>
      <numFmt numFmtId="30" formatCode="@"/>
      <alignment horizontal="right" wrapText="1" readingOrder="0"/>
    </dxf>
  </rfmt>
  <rfmt sheetId="1" sqref="C3" start="0" length="0">
    <dxf>
      <font>
        <sz val="11"/>
        <name val="Times New Roman"/>
        <scheme val="none"/>
      </font>
      <alignment horizontal="right" readingOrder="0"/>
    </dxf>
  </rfmt>
  <rfmt sheetId="1" sqref="D3" start="0" length="0">
    <dxf>
      <font>
        <sz val="11"/>
        <name val="Times New Roman"/>
        <scheme val="none"/>
      </font>
      <alignment horizontal="right" readingOrder="0"/>
    </dxf>
  </rfmt>
  <rfmt sheetId="1" sqref="E3" start="0" length="0">
    <dxf>
      <font>
        <sz val="11"/>
        <name val="Times New Roman"/>
        <scheme val="none"/>
      </font>
      <alignment horizontal="right" readingOrder="0"/>
    </dxf>
  </rfmt>
  <rcc rId="2714" sId="1" odxf="1" dxf="1">
    <nc r="F3" t="inlineStr">
      <is>
        <t>Плесецкого муниципального округа Архангельской области</t>
      </is>
    </nc>
    <odxf>
      <font>
        <sz val="11"/>
        <name val="Times New Roman"/>
        <scheme val="none"/>
      </font>
      <alignment horizontal="general" readingOrder="0"/>
    </odxf>
    <ndxf>
      <font>
        <sz val="11"/>
        <name val="Times New Roman"/>
        <scheme val="none"/>
      </font>
      <alignment horizontal="right" readingOrder="0"/>
    </ndxf>
  </rcc>
  <rfmt sheetId="1" s="1" sqref="A4" start="0" length="0">
    <dxf>
      <font>
        <sz val="10"/>
        <color auto="1"/>
        <name val="Times New Roman"/>
        <scheme val="none"/>
      </font>
      <numFmt numFmtId="30" formatCode="@"/>
      <alignment horizontal="right" wrapText="1" readingOrder="0"/>
    </dxf>
  </rfmt>
  <rfmt sheetId="1" s="1" sqref="B4" start="0" length="0">
    <dxf>
      <font>
        <sz val="10"/>
        <color auto="1"/>
        <name val="Times New Roman"/>
        <scheme val="none"/>
      </font>
      <numFmt numFmtId="30" formatCode="@"/>
      <alignment horizontal="right" wrapText="1" readingOrder="0"/>
    </dxf>
  </rfmt>
  <rfmt sheetId="1" sqref="C4" start="0" length="0">
    <dxf>
      <font>
        <sz val="11"/>
        <name val="Times New Roman"/>
        <scheme val="none"/>
      </font>
      <alignment horizontal="right" readingOrder="0"/>
    </dxf>
  </rfmt>
  <rfmt sheetId="1" sqref="D4" start="0" length="0">
    <dxf>
      <font>
        <sz val="11"/>
        <name val="Times New Roman"/>
        <scheme val="none"/>
      </font>
      <alignment horizontal="right" readingOrder="0"/>
    </dxf>
  </rfmt>
  <rfmt sheetId="1" sqref="E4" start="0" length="0">
    <dxf>
      <font>
        <sz val="11"/>
        <name val="Times New Roman"/>
        <scheme val="none"/>
      </font>
      <alignment horizontal="right" readingOrder="0"/>
    </dxf>
  </rfmt>
  <rcc rId="2715" sId="1" odxf="1" dxf="1">
    <nc r="F4" t="inlineStr">
      <is>
        <t xml:space="preserve">от 19 декабря 2023 года №183 </t>
      </is>
    </nc>
    <odxf>
      <font>
        <sz val="11"/>
        <name val="Times New Roman"/>
        <scheme val="none"/>
      </font>
      <alignment horizontal="general" readingOrder="0"/>
    </odxf>
    <ndxf>
      <font>
        <sz val="11"/>
        <name val="Times New Roman"/>
        <scheme val="none"/>
      </font>
      <alignment horizontal="right" readingOrder="0"/>
    </ndxf>
  </rcc>
  <rcc rId="2716" sId="1">
    <nc r="F1" t="inlineStr">
      <is>
        <t xml:space="preserve"> Приложение № 5</t>
      </is>
    </nc>
  </rcc>
  <rrc rId="2717" sId="1" ref="A10:XFD13" action="insertRow">
    <undo index="0" exp="area" ref3D="1" dr="$A$230:$XFD$234" dn="Z_30E81E54_DD45_4653_9DCD_548F6723F554_.wvu.Rows" sId="1"/>
  </rrc>
  <rm rId="2718" sheetId="1" source="A1:XFD4" destination="A10:XFD13" sourceSheetId="1">
    <rfmt sheetId="1" xfDxf="1" sqref="A10:XFD10" start="0" length="0">
      <dxf>
        <font>
          <name val="Times New Roman"/>
          <scheme val="none"/>
        </font>
        <alignment vertical="center" readingOrder="0"/>
      </dxf>
    </rfmt>
    <rfmt sheetId="1" xfDxf="1" sqref="A11:XFD11" start="0" length="0">
      <dxf>
        <font>
          <name val="Times New Roman"/>
          <scheme val="none"/>
        </font>
        <alignment vertical="center" readingOrder="0"/>
      </dxf>
    </rfmt>
    <rfmt sheetId="1" xfDxf="1" sqref="A12:XFD12" start="0" length="0">
      <dxf>
        <font>
          <name val="Times New Roman"/>
          <scheme val="none"/>
        </font>
        <alignment vertical="center" readingOrder="0"/>
      </dxf>
    </rfmt>
    <rfmt sheetId="1" xfDxf="1" sqref="A13:XFD13" start="0" length="0">
      <dxf>
        <font>
          <name val="Times New Roman"/>
          <scheme val="none"/>
        </font>
        <alignment vertical="center" readingOrder="0"/>
      </dxf>
    </rfmt>
    <rfmt sheetId="1" sqref="B10" start="0" length="0">
      <dxf>
        <alignment horizontal="center" readingOrder="0"/>
      </dxf>
    </rfmt>
    <rfmt sheetId="1" sqref="C10" start="0" length="0">
      <dxf>
        <alignment horizontal="center" readingOrder="0"/>
      </dxf>
    </rfmt>
    <rfmt sheetId="1" sqref="D10" start="0" length="0">
      <dxf>
        <numFmt numFmtId="164" formatCode="_-* #,##0.00_р_._-;\-* #,##0.00_р_._-;_-* &quot;-&quot;??_р_._-;_-@_-"/>
      </dxf>
    </rfmt>
    <rfmt sheetId="1" sqref="E10" start="0" length="0">
      <dxf>
        <numFmt numFmtId="164" formatCode="_-* #,##0.00_р_._-;\-* #,##0.00_р_._-;_-* &quot;-&quot;??_р_._-;_-@_-"/>
      </dxf>
    </rfmt>
    <rfmt sheetId="1" sqref="F10" start="0" length="0">
      <dxf>
        <numFmt numFmtId="164" formatCode="_-* #,##0.00_р_._-;\-* #,##0.00_р_._-;_-* &quot;-&quot;??_р_._-;_-@_-"/>
      </dxf>
    </rfmt>
    <rfmt sheetId="1" sqref="B11" start="0" length="0">
      <dxf>
        <alignment horizontal="center" readingOrder="0"/>
      </dxf>
    </rfmt>
    <rfmt sheetId="1" sqref="C11" start="0" length="0">
      <dxf>
        <alignment horizontal="center" readingOrder="0"/>
      </dxf>
    </rfmt>
    <rfmt sheetId="1" sqref="D11" start="0" length="0">
      <dxf>
        <numFmt numFmtId="164" formatCode="_-* #,##0.00_р_._-;\-* #,##0.00_р_._-;_-* &quot;-&quot;??_р_._-;_-@_-"/>
      </dxf>
    </rfmt>
    <rfmt sheetId="1" sqref="E11" start="0" length="0">
      <dxf>
        <numFmt numFmtId="164" formatCode="_-* #,##0.00_р_._-;\-* #,##0.00_р_._-;_-* &quot;-&quot;??_р_._-;_-@_-"/>
      </dxf>
    </rfmt>
    <rfmt sheetId="1" sqref="F11" start="0" length="0">
      <dxf>
        <numFmt numFmtId="164" formatCode="_-* #,##0.00_р_._-;\-* #,##0.00_р_._-;_-* &quot;-&quot;??_р_._-;_-@_-"/>
      </dxf>
    </rfmt>
    <rfmt sheetId="1" sqref="B12" start="0" length="0">
      <dxf>
        <alignment horizontal="center" readingOrder="0"/>
      </dxf>
    </rfmt>
    <rfmt sheetId="1" sqref="C12" start="0" length="0">
      <dxf>
        <alignment horizontal="center" readingOrder="0"/>
      </dxf>
    </rfmt>
    <rfmt sheetId="1" sqref="D12" start="0" length="0">
      <dxf>
        <numFmt numFmtId="164" formatCode="_-* #,##0.00_р_._-;\-* #,##0.00_р_._-;_-* &quot;-&quot;??_р_._-;_-@_-"/>
      </dxf>
    </rfmt>
    <rfmt sheetId="1" sqref="E12" start="0" length="0">
      <dxf>
        <numFmt numFmtId="164" formatCode="_-* #,##0.00_р_._-;\-* #,##0.00_р_._-;_-* &quot;-&quot;??_р_._-;_-@_-"/>
      </dxf>
    </rfmt>
    <rfmt sheetId="1" sqref="F12" start="0" length="0">
      <dxf>
        <numFmt numFmtId="164" formatCode="_-* #,##0.00_р_._-;\-* #,##0.00_р_._-;_-* &quot;-&quot;??_р_._-;_-@_-"/>
      </dxf>
    </rfmt>
    <rfmt sheetId="1" sqref="B13" start="0" length="0">
      <dxf>
        <alignment horizontal="center" readingOrder="0"/>
      </dxf>
    </rfmt>
    <rfmt sheetId="1" sqref="C13" start="0" length="0">
      <dxf>
        <alignment horizontal="center" readingOrder="0"/>
      </dxf>
    </rfmt>
    <rfmt sheetId="1" sqref="D13" start="0" length="0">
      <dxf>
        <numFmt numFmtId="164" formatCode="_-* #,##0.00_р_._-;\-* #,##0.00_р_._-;_-* &quot;-&quot;??_р_._-;_-@_-"/>
      </dxf>
    </rfmt>
    <rfmt sheetId="1" sqref="E13" start="0" length="0">
      <dxf>
        <numFmt numFmtId="164" formatCode="_-* #,##0.00_р_._-;\-* #,##0.00_р_._-;_-* &quot;-&quot;??_р_._-;_-@_-"/>
      </dxf>
    </rfmt>
    <rfmt sheetId="1" sqref="F13" start="0" length="0">
      <dxf>
        <numFmt numFmtId="164" formatCode="_-* #,##0.00_р_._-;\-* #,##0.00_р_._-;_-* &quot;-&quot;??_р_._-;_-@_-"/>
      </dxf>
    </rfmt>
  </rm>
  <rrc rId="2719" sId="1" ref="A1:XFD1" action="deleteRow">
    <undo index="0" exp="area" ref3D="1" dr="$A$234:$XFD$238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20" sId="1" ref="A1:XFD1" action="deleteRow">
    <undo index="0" exp="area" ref3D="1" dr="$A$233:$XFD$237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21" sId="1" ref="A1:XFD1" action="deleteRow">
    <undo index="0" exp="area" ref3D="1" dr="$A$232:$XFD$236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22" sId="1" ref="A1:XFD1" action="deleteRow">
    <undo index="0" exp="area" ref3D="1" dr="$A$231:$XFD$235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cc rId="2723" sId="1">
    <oc r="F4" t="inlineStr">
      <is>
        <t xml:space="preserve">от                   2024 года № </t>
      </is>
    </oc>
    <nc r="F4" t="inlineStr">
      <is>
        <t xml:space="preserve">от                  февраля 2024 года № </t>
      </is>
    </nc>
  </rcc>
  <rcv guid="{9A752CC5-36AC-48BE-BF4B-1A38C4015906}" action="delete"/>
  <rdn rId="0" localSheetId="1" customView="1" name="Z_9A752CC5_36AC_48BE_BF4B_1A38C4015906_.wvu.FilterData" hidden="1" oldHidden="1">
    <formula>'программы '!$A$1:$A$761</formula>
    <oldFormula>'программы '!$A$1:$A$761</oldFormula>
  </rdn>
  <rcv guid="{9A752CC5-36AC-48BE-BF4B-1A38C4015906}" action="add"/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7" sId="1" ref="A273:XFD273" action="insertRow">
    <undo index="0" exp="area" ref3D="1" dr="$A$303:$XFD$311" dn="Z_30E81E54_DD45_4653_9DCD_548F6723F554_.wvu.Rows" sId="1"/>
    <undo index="16" exp="area" ref3D="1" dr="$A$845:$XFD$848" dn="Z_9A752CC5_36AC_48BE_BF4B_1A38C4015906_.wvu.Rows" sId="1"/>
    <undo index="14" exp="area" ref3D="1" dr="$A$799:$XFD$802" dn="Z_9A752CC5_36AC_48BE_BF4B_1A38C4015906_.wvu.Rows" sId="1"/>
    <undo index="12" exp="area" ref3D="1" dr="$A$583:$XFD$584" dn="Z_9A752CC5_36AC_48BE_BF4B_1A38C4015906_.wvu.Rows" sId="1"/>
    <undo index="10" exp="area" ref3D="1" dr="$A$546:$XFD$549" dn="Z_9A752CC5_36AC_48BE_BF4B_1A38C4015906_.wvu.Rows" sId="1"/>
    <undo index="8" exp="area" ref3D="1" dr="$A$532:$XFD$535" dn="Z_9A752CC5_36AC_48BE_BF4B_1A38C4015906_.wvu.Rows" sId="1"/>
    <undo index="6" exp="area" ref3D="1" dr="$A$352:$XFD$354" dn="Z_9A752CC5_36AC_48BE_BF4B_1A38C4015906_.wvu.Rows" sId="1"/>
    <undo index="4" exp="area" ref3D="1" dr="$A$331:$XFD$334" dn="Z_9A752CC5_36AC_48BE_BF4B_1A38C4015906_.wvu.Rows" sId="1"/>
  </rrc>
  <rrc rId="4698" sId="1" ref="A273:XFD273" action="insertRow">
    <undo index="0" exp="area" ref3D="1" dr="$A$304:$XFD$312" dn="Z_30E81E54_DD45_4653_9DCD_548F6723F554_.wvu.Rows" sId="1"/>
    <undo index="16" exp="area" ref3D="1" dr="$A$846:$XFD$849" dn="Z_9A752CC5_36AC_48BE_BF4B_1A38C4015906_.wvu.Rows" sId="1"/>
    <undo index="14" exp="area" ref3D="1" dr="$A$800:$XFD$803" dn="Z_9A752CC5_36AC_48BE_BF4B_1A38C4015906_.wvu.Rows" sId="1"/>
    <undo index="12" exp="area" ref3D="1" dr="$A$584:$XFD$585" dn="Z_9A752CC5_36AC_48BE_BF4B_1A38C4015906_.wvu.Rows" sId="1"/>
    <undo index="10" exp="area" ref3D="1" dr="$A$547:$XFD$550" dn="Z_9A752CC5_36AC_48BE_BF4B_1A38C4015906_.wvu.Rows" sId="1"/>
    <undo index="8" exp="area" ref3D="1" dr="$A$533:$XFD$536" dn="Z_9A752CC5_36AC_48BE_BF4B_1A38C4015906_.wvu.Rows" sId="1"/>
    <undo index="6" exp="area" ref3D="1" dr="$A$353:$XFD$355" dn="Z_9A752CC5_36AC_48BE_BF4B_1A38C4015906_.wvu.Rows" sId="1"/>
    <undo index="4" exp="area" ref3D="1" dr="$A$332:$XFD$335" dn="Z_9A752CC5_36AC_48BE_BF4B_1A38C4015906_.wvu.Rows" sId="1"/>
  </rrc>
  <rrc rId="4699" sId="1" ref="A273:XFD273" action="insertRow">
    <undo index="0" exp="area" ref3D="1" dr="$A$305:$XFD$313" dn="Z_30E81E54_DD45_4653_9DCD_548F6723F554_.wvu.Rows" sId="1"/>
    <undo index="16" exp="area" ref3D="1" dr="$A$847:$XFD$850" dn="Z_9A752CC5_36AC_48BE_BF4B_1A38C4015906_.wvu.Rows" sId="1"/>
    <undo index="14" exp="area" ref3D="1" dr="$A$801:$XFD$804" dn="Z_9A752CC5_36AC_48BE_BF4B_1A38C4015906_.wvu.Rows" sId="1"/>
    <undo index="12" exp="area" ref3D="1" dr="$A$585:$XFD$586" dn="Z_9A752CC5_36AC_48BE_BF4B_1A38C4015906_.wvu.Rows" sId="1"/>
    <undo index="10" exp="area" ref3D="1" dr="$A$548:$XFD$551" dn="Z_9A752CC5_36AC_48BE_BF4B_1A38C4015906_.wvu.Rows" sId="1"/>
    <undo index="8" exp="area" ref3D="1" dr="$A$534:$XFD$537" dn="Z_9A752CC5_36AC_48BE_BF4B_1A38C4015906_.wvu.Rows" sId="1"/>
    <undo index="6" exp="area" ref3D="1" dr="$A$354:$XFD$356" dn="Z_9A752CC5_36AC_48BE_BF4B_1A38C4015906_.wvu.Rows" sId="1"/>
    <undo index="4" exp="area" ref3D="1" dr="$A$333:$XFD$336" dn="Z_9A752CC5_36AC_48BE_BF4B_1A38C4015906_.wvu.Rows" sId="1"/>
  </rrc>
  <rfmt sheetId="1" sqref="D273:D274">
    <dxf>
      <fill>
        <patternFill>
          <bgColor theme="0"/>
        </patternFill>
      </fill>
    </dxf>
  </rfmt>
  <rcc rId="4700" sId="1">
    <nc r="C275">
      <v>831</v>
    </nc>
  </rcc>
  <rcc rId="4701" sId="1">
    <nc r="C274">
      <v>830</v>
    </nc>
  </rcc>
  <rcc rId="4702" sId="1">
    <nc r="C273">
      <v>800</v>
    </nc>
  </rcc>
  <rcc rId="4703" sId="1">
    <nc r="B275" t="inlineStr">
      <is>
        <t>04 0 00 83680</t>
      </is>
    </nc>
  </rcc>
  <rcc rId="4704" sId="1">
    <nc r="B274" t="inlineStr">
      <is>
        <t>04 0 00 83680</t>
      </is>
    </nc>
  </rcc>
  <rcc rId="4705" sId="1">
    <nc r="B273" t="inlineStr">
      <is>
        <t>04 0 00 83680</t>
      </is>
    </nc>
  </rcc>
  <rcc rId="4706" sId="1">
    <nc r="A273" t="inlineStr">
      <is>
        <t>Иные бюджетные ассигнования</t>
      </is>
    </nc>
  </rcc>
  <rcc rId="4707" sId="1">
    <nc r="A274" t="inlineStr">
      <is>
        <t xml:space="preserve">Исполнение судебных актов </t>
      </is>
    </nc>
  </rcc>
  <rcc rId="4708" sId="1">
    <nc r="A275" t="inlineStr">
      <is>
        <t>Исполнение судебных актов Российской Федерации и мировых соглашений по возмещению причиненного вреда</t>
      </is>
    </nc>
  </rcc>
  <rcc rId="4709" sId="1">
    <nc r="D274">
      <f>D275</f>
    </nc>
  </rcc>
  <rcc rId="4710" sId="1" odxf="1" dxf="1">
    <nc r="E274">
      <f>E275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11" sId="1" odxf="1" dxf="1">
    <nc r="F274">
      <f>F275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12" sId="1">
    <nc r="D273">
      <f>D274</f>
    </nc>
  </rcc>
  <rcc rId="4713" sId="1" odxf="1" dxf="1">
    <nc r="E273">
      <f>E274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14" sId="1" odxf="1" dxf="1">
    <nc r="F273">
      <f>F274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15" sId="1" numFmtId="34">
    <nc r="D275">
      <v>40468.9</v>
    </nc>
  </rcc>
  <rcc rId="4716" sId="1">
    <oc r="D269">
      <f>D270</f>
    </oc>
    <nc r="D269">
      <f>D270+D273</f>
    </nc>
  </rcc>
  <rcc rId="4717" sId="1">
    <oc r="E269">
      <f>E270</f>
    </oc>
    <nc r="E269">
      <f>E270+E273</f>
    </nc>
  </rcc>
  <rcc rId="4718" sId="1">
    <oc r="F269">
      <f>F270</f>
    </oc>
    <nc r="F269">
      <f>F270+F273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9" sId="1">
    <oc r="D369">
      <f>5000000+344484+87070.87</f>
    </oc>
    <nc r="D369">
      <f>5000000+344484+87070.87+2381236.58</f>
    </nc>
  </rcc>
  <rrc rId="4720" sId="1" ref="A371:XFD371" action="insertRow">
    <undo index="16" exp="area" ref3D="1" dr="$A$848:$XFD$851" dn="Z_9A752CC5_36AC_48BE_BF4B_1A38C4015906_.wvu.Rows" sId="1"/>
    <undo index="14" exp="area" ref3D="1" dr="$A$802:$XFD$805" dn="Z_9A752CC5_36AC_48BE_BF4B_1A38C4015906_.wvu.Rows" sId="1"/>
    <undo index="12" exp="area" ref3D="1" dr="$A$586:$XFD$587" dn="Z_9A752CC5_36AC_48BE_BF4B_1A38C4015906_.wvu.Rows" sId="1"/>
    <undo index="10" exp="area" ref3D="1" dr="$A$549:$XFD$552" dn="Z_9A752CC5_36AC_48BE_BF4B_1A38C4015906_.wvu.Rows" sId="1"/>
    <undo index="8" exp="area" ref3D="1" dr="$A$535:$XFD$538" dn="Z_9A752CC5_36AC_48BE_BF4B_1A38C4015906_.wvu.Rows" sId="1"/>
  </rrc>
  <rrc rId="4721" sId="1" ref="A371:XFD371" action="insertRow">
    <undo index="16" exp="area" ref3D="1" dr="$A$849:$XFD$852" dn="Z_9A752CC5_36AC_48BE_BF4B_1A38C4015906_.wvu.Rows" sId="1"/>
    <undo index="14" exp="area" ref3D="1" dr="$A$803:$XFD$806" dn="Z_9A752CC5_36AC_48BE_BF4B_1A38C4015906_.wvu.Rows" sId="1"/>
    <undo index="12" exp="area" ref3D="1" dr="$A$587:$XFD$588" dn="Z_9A752CC5_36AC_48BE_BF4B_1A38C4015906_.wvu.Rows" sId="1"/>
    <undo index="10" exp="area" ref3D="1" dr="$A$550:$XFD$553" dn="Z_9A752CC5_36AC_48BE_BF4B_1A38C4015906_.wvu.Rows" sId="1"/>
    <undo index="8" exp="area" ref3D="1" dr="$A$536:$XFD$539" dn="Z_9A752CC5_36AC_48BE_BF4B_1A38C4015906_.wvu.Rows" sId="1"/>
  </rrc>
  <rrc rId="4722" sId="1" ref="A371:XFD371" action="insertRow">
    <undo index="16" exp="area" ref3D="1" dr="$A$850:$XFD$853" dn="Z_9A752CC5_36AC_48BE_BF4B_1A38C4015906_.wvu.Rows" sId="1"/>
    <undo index="14" exp="area" ref3D="1" dr="$A$804:$XFD$807" dn="Z_9A752CC5_36AC_48BE_BF4B_1A38C4015906_.wvu.Rows" sId="1"/>
    <undo index="12" exp="area" ref3D="1" dr="$A$588:$XFD$589" dn="Z_9A752CC5_36AC_48BE_BF4B_1A38C4015906_.wvu.Rows" sId="1"/>
    <undo index="10" exp="area" ref3D="1" dr="$A$551:$XFD$554" dn="Z_9A752CC5_36AC_48BE_BF4B_1A38C4015906_.wvu.Rows" sId="1"/>
    <undo index="8" exp="area" ref3D="1" dr="$A$537:$XFD$540" dn="Z_9A752CC5_36AC_48BE_BF4B_1A38C4015906_.wvu.Rows" sId="1"/>
  </rrc>
  <rrc rId="4723" sId="1" ref="A371:XFD371" action="insertRow">
    <undo index="16" exp="area" ref3D="1" dr="$A$851:$XFD$854" dn="Z_9A752CC5_36AC_48BE_BF4B_1A38C4015906_.wvu.Rows" sId="1"/>
    <undo index="14" exp="area" ref3D="1" dr="$A$805:$XFD$808" dn="Z_9A752CC5_36AC_48BE_BF4B_1A38C4015906_.wvu.Rows" sId="1"/>
    <undo index="12" exp="area" ref3D="1" dr="$A$589:$XFD$590" dn="Z_9A752CC5_36AC_48BE_BF4B_1A38C4015906_.wvu.Rows" sId="1"/>
    <undo index="10" exp="area" ref3D="1" dr="$A$552:$XFD$555" dn="Z_9A752CC5_36AC_48BE_BF4B_1A38C4015906_.wvu.Rows" sId="1"/>
    <undo index="8" exp="area" ref3D="1" dr="$A$538:$XFD$541" dn="Z_9A752CC5_36AC_48BE_BF4B_1A38C4015906_.wvu.Rows" sId="1"/>
  </rrc>
  <rcc rId="4724" sId="1" numFmtId="34">
    <nc r="C374">
      <v>244</v>
    </nc>
  </rcc>
  <rcc rId="4725" sId="1" numFmtId="34">
    <nc r="C373">
      <v>240</v>
    </nc>
  </rcc>
  <rcc rId="4726" sId="1" numFmtId="34">
    <nc r="C372">
      <v>200</v>
    </nc>
  </rcc>
  <rcc rId="4727" sId="1" xfDxf="1" s="1" dxf="1">
    <nc r="B372" t="inlineStr">
      <is>
        <t>07 0 00 S8420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728" sId="1" xfDxf="1" s="1" dxf="1">
    <nc r="B373" t="inlineStr">
      <is>
        <t>07 0 00 S8420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729" sId="1" xfDxf="1" s="1" dxf="1">
    <nc r="B374" t="inlineStr">
      <is>
        <t>07 0 00 S8420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730" sId="1" xfDxf="1" s="1" dxf="1">
    <nc r="B371" t="inlineStr">
      <is>
        <t>07 0 00 S8420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731" sId="1">
    <nc r="A371" t="inlineStr">
      <is>
        <t>Развитие территориального общественного самоуправления в Архангельской области</t>
      </is>
    </nc>
  </rcc>
  <rfmt sheetId="1" sqref="A371" start="0" length="2147483647">
    <dxf>
      <font>
        <i val="0"/>
      </font>
    </dxf>
  </rfmt>
  <rcc rId="4732" sId="1" xfDxf="1" s="1" dxf="1">
    <nc r="A372" t="inlineStr">
      <is>
        <t>Закупка товаров, работ и услуг для обеспечения государственных (муниципальных) нужд</t>
      </is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fmt sheetId="1" sqref="A372" start="0" length="2147483647">
    <dxf>
      <font>
        <i val="0"/>
      </font>
    </dxf>
  </rfmt>
  <rcc rId="4733" sId="1">
    <nc r="A373" t="inlineStr">
      <is>
        <t>Иные закупки товаров, работ и услуг для обеспечения государственных (муниципальных) нужд</t>
      </is>
    </nc>
  </rcc>
  <rfmt sheetId="1" sqref="A373:A374" start="0" length="2147483647">
    <dxf>
      <font>
        <i val="0"/>
      </font>
    </dxf>
  </rfmt>
  <rcc rId="4734" sId="1" xfDxf="1" s="1" dxf="1">
    <nc r="A374" t="inlineStr">
      <is>
        <t>Прочая закупка товаров, работ и услуг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4735" sId="1">
    <nc r="D373">
      <f>D374</f>
    </nc>
  </rcc>
  <rcc rId="4736" sId="1">
    <nc r="E373">
      <f>E374</f>
    </nc>
  </rcc>
  <rcc rId="4737" sId="1">
    <nc r="F373">
      <f>F374</f>
    </nc>
  </rcc>
  <rcc rId="4738" sId="1">
    <nc r="D372">
      <f>D373</f>
    </nc>
  </rcc>
  <rcc rId="4739" sId="1">
    <nc r="E372">
      <f>E373</f>
    </nc>
  </rcc>
  <rcc rId="4740" sId="1">
    <nc r="F372">
      <f>F373</f>
    </nc>
  </rcc>
  <rcc rId="4741" sId="1">
    <nc r="D371">
      <f>D372+D375</f>
    </nc>
  </rcc>
  <rcc rId="4742" sId="1">
    <nc r="E371">
      <f>E372+E375</f>
    </nc>
  </rcc>
  <rcc rId="4743" sId="1">
    <nc r="F371">
      <f>F372+F375</f>
    </nc>
  </rcc>
  <rcc rId="4744" sId="1">
    <oc r="B370" t="inlineStr">
      <is>
        <t>07 0 00 S8420</t>
      </is>
    </oc>
    <nc r="B370" t="inlineStr">
      <is>
        <t>07 0 00 00000</t>
      </is>
    </nc>
  </rcc>
  <rfmt sheetId="1" sqref="B370" start="0" length="2147483647">
    <dxf>
      <font>
        <i/>
      </font>
    </dxf>
  </rfmt>
  <rrc rId="4745" sId="1" ref="A370:XFD370" action="deleteRow">
    <undo index="0" exp="ref" v="1" dr="F370" r="F365" sId="1"/>
    <undo index="0" exp="ref" v="1" dr="E370" r="E365" sId="1"/>
    <undo index="0" exp="ref" v="1" dr="D370" r="D365" sId="1"/>
    <undo index="16" exp="area" ref3D="1" dr="$A$852:$XFD$855" dn="Z_9A752CC5_36AC_48BE_BF4B_1A38C4015906_.wvu.Rows" sId="1"/>
    <undo index="14" exp="area" ref3D="1" dr="$A$806:$XFD$809" dn="Z_9A752CC5_36AC_48BE_BF4B_1A38C4015906_.wvu.Rows" sId="1"/>
    <undo index="12" exp="area" ref3D="1" dr="$A$590:$XFD$591" dn="Z_9A752CC5_36AC_48BE_BF4B_1A38C4015906_.wvu.Rows" sId="1"/>
    <undo index="10" exp="area" ref3D="1" dr="$A$553:$XFD$556" dn="Z_9A752CC5_36AC_48BE_BF4B_1A38C4015906_.wvu.Rows" sId="1"/>
    <undo index="8" exp="area" ref3D="1" dr="$A$539:$XFD$542" dn="Z_9A752CC5_36AC_48BE_BF4B_1A38C4015906_.wvu.Rows" sId="1"/>
    <rfmt sheetId="1" xfDxf="1" sqref="A370:XFD370" start="0" length="0">
      <dxf>
        <font>
          <i/>
          <name val="Times New Roman"/>
          <scheme val="none"/>
        </font>
        <alignment vertical="center" readingOrder="0"/>
      </dxf>
    </rfmt>
    <rcc rId="0" sId="1" s="1" dxf="1">
      <nc r="A370" t="inlineStr">
        <is>
          <t>Муниципальная программа Плесецкого муниципального округа  «Развитие территориального общественного самоуправления Архангельской области</t>
        </is>
      </nc>
      <ndxf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70" t="inlineStr">
        <is>
          <t>07 0 00 00000</t>
        </is>
      </nc>
      <ndxf>
        <numFmt numFmtId="164" formatCode="_-* #,##0.00_р_._-;\-* #,##0.00_р_._-;_-* &quot;-&quot;??_р_._-;_-@_-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370" start="0" length="0">
      <dxf>
        <font>
          <i val="0"/>
          <sz val="10"/>
          <color auto="1"/>
          <name val="Times New Roman"/>
          <scheme val="none"/>
        </font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70">
        <f>D376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70">
        <f>E376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70">
        <f>F376</f>
      </nc>
      <ndxf>
        <font>
          <i val="0"/>
          <sz val="10"/>
          <color auto="1"/>
          <name val="Times New Roman"/>
          <scheme val="none"/>
        </font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C369:C373">
    <dxf>
      <alignment horizontal="general" readingOrder="0"/>
    </dxf>
  </rfmt>
  <rfmt sheetId="1" sqref="C369:C373">
    <dxf>
      <alignment horizontal="center" readingOrder="0"/>
    </dxf>
  </rfmt>
  <rfmt sheetId="1" sqref="C369:C373">
    <dxf>
      <numFmt numFmtId="30" formatCode="@"/>
    </dxf>
  </rfmt>
  <rcc rId="4746" sId="1">
    <oc r="D365">
      <f>#REF!+D366</f>
    </oc>
    <nc r="D365">
      <f>D366+D370</f>
    </nc>
  </rcc>
  <rcc rId="4747" sId="1">
    <oc r="E365">
      <f>#REF!+E366</f>
    </oc>
    <nc r="E365">
      <f>E366+E370</f>
    </nc>
  </rcc>
  <rcc rId="4748" sId="1">
    <oc r="F365">
      <f>#REF!+F366</f>
    </oc>
    <nc r="F365">
      <f>F366+F370</f>
    </nc>
  </rcc>
  <rcc rId="4749" sId="1" numFmtId="34">
    <nc r="D373">
      <v>2487459</v>
    </nc>
  </rcc>
  <rcv guid="{D9B90A86-BE39-4FED-8226-084809D277F3}" action="delete"/>
  <rdn rId="0" localSheetId="1" customView="1" name="Z_D9B90A86_BE39_4FED_8226_084809D277F3_.wvu.PrintArea" hidden="1" oldHidden="1">
    <formula>'программы '!$A$1:$F$949</formula>
    <oldFormula>'программы '!$A$1:$F$949</oldFormula>
  </rdn>
  <rdn rId="0" localSheetId="1" customView="1" name="Z_D9B90A86_BE39_4FED_8226_084809D277F3_.wvu.FilterData" hidden="1" oldHidden="1">
    <formula>'программы '!$C$1:$C$957</formula>
    <oldFormula>'программы '!$C$1:$C$957</oldFormula>
  </rdn>
  <rcv guid="{D9B90A86-BE39-4FED-8226-084809D277F3}" action="add"/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74:D375">
    <dxf>
      <alignment horizontal="right" readingOrder="0"/>
    </dxf>
  </rfmt>
  <rfmt sheetId="1" sqref="D374:D375">
    <dxf>
      <alignment horizontal="center" readingOrder="0"/>
    </dxf>
  </rfmt>
  <rfmt sheetId="1" sqref="D374:D375">
    <dxf>
      <alignment horizontal="left" readingOrder="0"/>
    </dxf>
  </rfmt>
  <rfmt sheetId="1" sqref="D374:D375">
    <dxf>
      <alignment horizontal="general" readingOrder="0"/>
    </dxf>
  </rfmt>
  <rfmt sheetId="1" sqref="D374:D375">
    <dxf>
      <alignment horizontal="center" readingOrder="0"/>
    </dxf>
  </rfmt>
  <rfmt sheetId="1" sqref="D374:D375">
    <dxf>
      <alignment horizontal="right" readingOrder="0"/>
    </dxf>
  </rfmt>
  <rcc rId="4752" sId="1" numFmtId="34">
    <oc r="D737">
      <v>472574</v>
    </oc>
    <nc r="D737">
      <f>472574+104520</f>
    </nc>
  </rcc>
  <rfmt sheetId="1" sqref="D737">
    <dxf>
      <fill>
        <patternFill patternType="solid">
          <bgColor rgb="FFFFFF00"/>
        </patternFill>
      </fill>
    </dxf>
  </rfmt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3" sId="1" numFmtId="34">
    <oc r="D353">
      <v>78750.289999999994</v>
    </oc>
    <nc r="D353">
      <f>78750.29+63472.76</f>
    </nc>
  </rcc>
  <rfmt sheetId="1" sqref="D353">
    <dxf>
      <fill>
        <patternFill patternType="solid">
          <bgColor rgb="FFFFFF00"/>
        </patternFill>
      </fill>
    </dxf>
  </rfmt>
  <rcc rId="4754" sId="1" numFmtId="34">
    <oc r="D354">
      <v>23782.59</v>
    </oc>
    <nc r="D354">
      <f>23782.59+19168.76</f>
    </nc>
  </rcc>
  <rfmt sheetId="1" sqref="D354">
    <dxf>
      <fill>
        <patternFill patternType="solid">
          <bgColor rgb="FFFFFF00"/>
        </patternFill>
      </fill>
    </dxf>
  </rfmt>
  <rcc rId="4755" sId="1">
    <oc r="D369">
      <f>5000000+344484+87070.87+2381236.58</f>
    </oc>
    <nc r="D369">
      <f>5000000+344484+87070.87+2381236.58+965247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6" sId="1" numFmtId="34">
    <oc r="D739">
      <v>460000</v>
    </oc>
    <nc r="D739">
      <f>460000+140000</f>
    </nc>
  </rcc>
  <rfmt sheetId="1" sqref="D739">
    <dxf>
      <fill>
        <patternFill patternType="solid">
          <bgColor rgb="FFFFFF00"/>
        </patternFill>
      </fill>
    </dxf>
  </rfmt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7" sId="1">
    <oc r="D369">
      <f>5000000+344484+87070.87+2381236.58+965247</f>
    </oc>
    <nc r="D369">
      <f>5000000+344484+87070.87+2381236.58+965247+749950</f>
    </nc>
  </rcc>
  <rcc rId="4758" sId="1" numFmtId="34">
    <oc r="D373">
      <v>2487459</v>
    </oc>
    <nc r="D373">
      <f>2487459+857288.8</f>
    </nc>
  </rcc>
  <rfmt sheetId="1" sqref="D373">
    <dxf>
      <fill>
        <patternFill patternType="solid">
          <bgColor rgb="FFFFFF00"/>
        </patternFill>
      </fill>
    </dxf>
  </rfmt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59" sId="1" ref="A634:XFD634" action="insertRow">
    <undo index="16" exp="area" ref3D="1" dr="$A$851:$XFD$854" dn="Z_9A752CC5_36AC_48BE_BF4B_1A38C4015906_.wvu.Rows" sId="1"/>
    <undo index="14" exp="area" ref3D="1" dr="$A$805:$XFD$808" dn="Z_9A752CC5_36AC_48BE_BF4B_1A38C4015906_.wvu.Rows" sId="1"/>
  </rrc>
  <rrc rId="4760" sId="1" ref="A634:XFD634" action="insertRow">
    <undo index="16" exp="area" ref3D="1" dr="$A$852:$XFD$855" dn="Z_9A752CC5_36AC_48BE_BF4B_1A38C4015906_.wvu.Rows" sId="1"/>
    <undo index="14" exp="area" ref3D="1" dr="$A$806:$XFD$809" dn="Z_9A752CC5_36AC_48BE_BF4B_1A38C4015906_.wvu.Rows" sId="1"/>
  </rrc>
  <rrc rId="4761" sId="1" ref="A634:XFD634" action="insertRow">
    <undo index="16" exp="area" ref3D="1" dr="$A$853:$XFD$856" dn="Z_9A752CC5_36AC_48BE_BF4B_1A38C4015906_.wvu.Rows" sId="1"/>
    <undo index="14" exp="area" ref3D="1" dr="$A$807:$XFD$810" dn="Z_9A752CC5_36AC_48BE_BF4B_1A38C4015906_.wvu.Rows" sId="1"/>
  </rrc>
  <rrc rId="4762" sId="1" ref="A635:XFD635" action="insertRow">
    <undo index="16" exp="area" ref3D="1" dr="$A$854:$XFD$857" dn="Z_9A752CC5_36AC_48BE_BF4B_1A38C4015906_.wvu.Rows" sId="1"/>
    <undo index="14" exp="area" ref3D="1" dr="$A$808:$XFD$811" dn="Z_9A752CC5_36AC_48BE_BF4B_1A38C4015906_.wvu.Rows" sId="1"/>
  </rrc>
  <rcc rId="4763" sId="1">
    <nc r="B637" t="inlineStr">
      <is>
        <t>25 0 00 L5111</t>
      </is>
    </nc>
  </rcc>
  <rcc rId="4764" sId="1">
    <nc r="B636" t="inlineStr">
      <is>
        <t>25 0 00 L5111</t>
      </is>
    </nc>
  </rcc>
  <rcc rId="4765" sId="1">
    <nc r="B635" t="inlineStr">
      <is>
        <t>25 0 00 L5111</t>
      </is>
    </nc>
  </rcc>
  <rcc rId="4766" sId="1">
    <nc r="B634" t="inlineStr">
      <is>
        <t>25 0 00 L5111</t>
      </is>
    </nc>
  </rcc>
  <rcc rId="4767" sId="1">
    <nc r="C637">
      <v>244</v>
    </nc>
  </rcc>
  <rcc rId="4768" sId="1">
    <nc r="C636">
      <v>240</v>
    </nc>
  </rcc>
  <rcc rId="4769" sId="1">
    <nc r="C635">
      <v>200</v>
    </nc>
  </rcc>
  <rcc rId="4770" sId="1">
    <nc r="D636">
      <f>D637</f>
    </nc>
  </rcc>
  <rcc rId="4771" sId="1">
    <nc r="E636">
      <f>E637</f>
    </nc>
  </rcc>
  <rcc rId="4772" sId="1">
    <nc r="F636">
      <f>F637</f>
    </nc>
  </rcc>
  <rcc rId="4773" sId="1">
    <nc r="D635">
      <f>D636</f>
    </nc>
  </rcc>
  <rcc rId="4774" sId="1">
    <nc r="E635">
      <f>E636</f>
    </nc>
  </rcc>
  <rcc rId="4775" sId="1">
    <nc r="F635">
      <f>F636</f>
    </nc>
  </rcc>
  <rcc rId="4776" sId="1">
    <nc r="D634">
      <f>D635</f>
    </nc>
  </rcc>
  <rcc rId="4777" sId="1">
    <nc r="E634">
      <f>E635</f>
    </nc>
  </rcc>
  <rcc rId="4778" sId="1">
    <nc r="F634">
      <f>F635</f>
    </nc>
  </rcc>
  <rfmt sheetId="1" sqref="A634:XFD637">
    <dxf>
      <fill>
        <patternFill patternType="solid">
          <bgColor rgb="FFFFFF00"/>
        </patternFill>
      </fill>
    </dxf>
  </rfmt>
  <rcc rId="4779" sId="1">
    <nc r="A637" t="inlineStr">
      <is>
        <t>Прочая закупка товаров, работ и услуг</t>
      </is>
    </nc>
  </rcc>
  <rcc rId="4780" sId="1" xfDxf="1" dxf="1">
    <nc r="A636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781" sId="1">
    <nc r="A635" t="inlineStr">
      <is>
        <t>Закупка товаров, работ и услуг для обеспечения государственных (муниципальных) нужд</t>
      </is>
    </nc>
  </rcc>
  <rcc rId="4782" sId="1">
    <nc r="A634" t="inlineStr">
      <is>
        <t>Проведение комплексных кадастровых работ</t>
      </is>
    </nc>
  </rcc>
  <rcc rId="4783" sId="1" numFmtId="34">
    <nc r="D637">
      <v>1159368.6200000001</v>
    </nc>
  </rcc>
  <rcc rId="4784" sId="1">
    <oc r="D629">
      <f>D630+D638</f>
    </oc>
    <nc r="D629">
      <f>D630+D638+D634</f>
    </nc>
  </rcc>
  <rcc rId="4785" sId="1">
    <oc r="E629">
      <f>E630+E638</f>
    </oc>
    <nc r="E629">
      <f>E630+E638+E634</f>
    </nc>
  </rcc>
  <rcc rId="4786" sId="1">
    <oc r="F629">
      <f>F630+F638</f>
    </oc>
    <nc r="F629">
      <f>F630+F638+F634</f>
    </nc>
  </rcc>
  <rcc rId="4787" sId="1" numFmtId="34">
    <oc r="D641">
      <v>719100</v>
    </oc>
    <nc r="D641">
      <f>719100-124036.86</f>
    </nc>
  </rcc>
  <rfmt sheetId="1" sqref="D641">
    <dxf>
      <fill>
        <patternFill patternType="solid">
          <bgColor rgb="FFFFFF00"/>
        </patternFill>
      </fill>
    </dxf>
  </rfmt>
  <rcc rId="4788" sId="1" numFmtId="34">
    <oc r="D143">
      <v>26819445.579999998</v>
    </oc>
    <nc r="D143">
      <f>26819445.58+6672754.28</f>
    </nc>
  </rcc>
  <rfmt sheetId="1" sqref="D143">
    <dxf>
      <fill>
        <patternFill patternType="solid">
          <bgColor rgb="FFFFFF00"/>
        </patternFill>
      </fill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>
  <rcc rId="6933" sId="1">
    <oc r="F5" t="inlineStr">
      <is>
        <t xml:space="preserve">от    декабря 2024 года № </t>
      </is>
    </oc>
    <nc r="F5" t="inlineStr">
      <is>
        <t>от  17  декабря 2024 года № 241</t>
      </is>
    </nc>
  </rcc>
  <rcv guid="{9A752CC5-36AC-48BE-BF4B-1A38C4015906}" action="delete"/>
  <rdn rId="0" localSheetId="1" customView="1" name="Z_9A752CC5_36AC_48BE_BF4B_1A38C4015906_.wvu.PrintArea" hidden="1" oldHidden="1">
    <formula>'программы '!$A$1:$F$633</formula>
    <oldFormula>'программы '!$A$1:$F$633</oldFormula>
  </rdn>
  <rdn rId="0" localSheetId="1" customView="1" name="Z_9A752CC5_36AC_48BE_BF4B_1A38C4015906_.wvu.FilterData" hidden="1" oldHidden="1">
    <formula>'программы '!$A$11:$F$244</formula>
    <oldFormula>'программы '!$A$11:$F$244</oldFormula>
  </rdn>
  <rcv guid="{9A752CC5-36AC-48BE-BF4B-1A38C4015906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89" sId="1" numFmtId="34">
    <oc r="E460">
      <v>772411</v>
    </oc>
    <nc r="E460">
      <f>772411+11027428.16</f>
    </nc>
  </rcc>
  <rfmt sheetId="1" sqref="E460">
    <dxf>
      <fill>
        <patternFill patternType="solid">
          <bgColor rgb="FFFFFF00"/>
        </patternFill>
      </fill>
    </dxf>
  </rfmt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90" sId="1" numFmtId="34">
    <oc r="D35">
      <v>54932575.219999999</v>
    </oc>
    <nc r="D35">
      <f>54932575.22-984473.45</f>
    </nc>
  </rcc>
  <rfmt sheetId="1" sqref="D35">
    <dxf>
      <fill>
        <patternFill patternType="solid">
          <bgColor rgb="FFFFFF00"/>
        </patternFill>
      </fill>
    </dxf>
  </rfmt>
  <rcc rId="4791" sId="1" numFmtId="34">
    <oc r="D38">
      <v>2659965.94</v>
    </oc>
    <nc r="D38">
      <f>2659965.94+984473.45</f>
    </nc>
  </rcc>
  <rfmt sheetId="1" sqref="D38">
    <dxf>
      <fill>
        <patternFill patternType="solid">
          <bgColor rgb="FFFFFF00"/>
        </patternFill>
      </fill>
    </dxf>
  </rfmt>
</revisions>
</file>

<file path=xl/revisions/revisionLog132.xml><?xml version="1.0" encoding="utf-8"?>
<revisions xmlns="http://schemas.openxmlformats.org/spreadsheetml/2006/main" xmlns:r="http://schemas.openxmlformats.org/officeDocument/2006/relationships">
  <rrc rId="5566" sId="1" ref="A1:XFD1" action="deleteRow">
    <undo index="0" exp="area" ref3D="1" dr="$A$1:$F$931" dn="Область_печати" sId="1"/>
    <undo index="0" exp="area" ref3D="1" dr="$B$1:$B$939" dn="Z_F8703169_880A_4977_8713_9386DA2F09A9_.wvu.FilterData" sId="1"/>
    <undo index="0" exp="area" ref3D="1" dr="$A$1:$F$931" dn="Z_D9B90A86_BE39_4FED_8226_084809D277F3_.wvu.PrintArea" sId="1"/>
    <undo index="0" exp="area" ref3D="1" dr="$C$1:$C$939" dn="Z_D9B90A86_BE39_4FED_8226_084809D277F3_.wvu.FilterData" sId="1"/>
    <undo index="0" exp="area" ref3D="1" dr="$B$1:$B$939" dn="Z_C401343A_675B_4FC1_A6F5_67CE31618685_.wvu.FilterData" sId="1"/>
    <undo index="0" exp="area" ref3D="1" dr="$A$1:$F$931" dn="Z_9A752CC5_36AC_48BE_BF4B_1A38C4015906_.wvu.PrintArea" sId="1"/>
    <undo index="0" exp="area" ref3D="1" dr="$B$1:$B$939" dn="Z_9A752CC5_36AC_48BE_BF4B_1A38C4015906_.wvu.FilterData" sId="1"/>
    <undo index="0" exp="area" ref3D="1" dr="$B$1:$B$939" dn="Z_7E5C1749_FF4E_4347_A58E_2DEF63C9D9CB_.wvu.FilterData" sId="1"/>
    <undo index="0" exp="area" ref3D="1" dr="$B$1:$B$939" dn="Z_6F8BA463_0055_46DE_8D23_E8E86D83EC4B_.wvu.FilterData" sId="1"/>
    <undo index="0" exp="area" ref3D="1" dr="$B$1:$B$939" dn="Z_683BEDAB_5AF7_4F46_BC3A_F9D325B8EF01_.wvu.FilterData" sId="1"/>
    <undo index="0" exp="area" ref3D="1" dr="$A$1:$F$931" dn="Z_547FB17C_1FA3_4D81_B22A_42218056849D_.wvu.PrintArea" sId="1"/>
    <undo index="0" exp="area" ref3D="1" dr="$B$1:$B$939" dn="Z_547FB17C_1FA3_4D81_B22A_42218056849D_.wvu.FilterData" sId="1"/>
    <undo index="0" exp="area" ref3D="1" dr="$A$299:$XFD$307" dn="Z_30E81E54_DD45_4653_9DCD_548F6723F554_.wvu.Rows" sId="1"/>
    <undo index="0" exp="area" ref3D="1" dr="$A$1:$F$931" dn="Z_30E81E54_DD45_4653_9DCD_548F6723F554_.wvu.PrintArea" sId="1"/>
    <undo index="0" exp="area" ref3D="1" dr="$A$1:$A$944" dn="Z_30E81E54_DD45_4653_9DCD_548F6723F554_.wvu.FilterData" sId="1"/>
    <undo index="0" exp="area" ref3D="1" dr="$C$1:$C$939" dn="_ФильтрБазыДанных" sId="1"/>
    <rfmt sheetId="1" xfDxf="1" sqref="A1:XFD1" start="0" length="0">
      <dxf>
        <font>
          <name val="Times New Roman"/>
          <scheme val="none"/>
        </font>
        <alignment vertical="center" readingOrder="0"/>
      </dxf>
    </rfmt>
    <rfmt sheetId="1" s="1" sqref="A1" start="0" length="0">
      <dxf>
        <fill>
          <patternFill patternType="solid">
            <bgColor theme="0"/>
          </patternFill>
        </fill>
        <alignment horizontal="right" readingOrder="0"/>
      </dxf>
    </rfmt>
    <rfmt sheetId="1" s="1" sqref="B1" start="0" length="0">
      <dxf>
        <fill>
          <patternFill patternType="solid">
            <bgColor theme="0"/>
          </patternFill>
        </fill>
        <alignment horizontal="right" readingOrder="0"/>
      </dxf>
    </rfmt>
    <rfmt sheetId="1" s="1" sqref="C1" start="0" length="0">
      <dxf>
        <fill>
          <patternFill patternType="solid">
            <bgColor theme="0"/>
          </patternFill>
        </fill>
        <alignment horizontal="right" readingOrder="0"/>
      </dxf>
    </rfmt>
    <rfmt sheetId="1" s="1" sqref="D1" start="0" length="0">
      <dxf>
        <fill>
          <patternFill patternType="solid">
            <bgColor theme="0"/>
          </patternFill>
        </fill>
        <alignment horizontal="right" readingOrder="0"/>
      </dxf>
    </rfmt>
    <rfmt sheetId="1" s="1" sqref="E1" start="0" length="0">
      <dxf>
        <fill>
          <patternFill patternType="solid">
            <bgColor theme="0"/>
          </patternFill>
        </fill>
        <alignment horizontal="right" readingOrder="0"/>
      </dxf>
    </rfmt>
    <rcc rId="0" sId="1" s="1" dxf="1">
      <nc r="F1" t="inlineStr">
        <is>
          <t xml:space="preserve"> Приложение № 5</t>
        </is>
      </nc>
      <ndxf>
        <fill>
          <patternFill patternType="solid">
            <bgColor theme="0"/>
          </patternFill>
        </fill>
        <alignment horizontal="right" readingOrder="0"/>
      </ndxf>
    </rcc>
    <rfmt sheetId="1" sqref="G1" start="0" length="0">
      <dxf>
        <fill>
          <patternFill patternType="solid">
            <bgColor theme="0"/>
          </patternFill>
        </fill>
      </dxf>
    </rfmt>
    <rfmt sheetId="1" sqref="H1" start="0" length="0">
      <dxf>
        <fill>
          <patternFill patternType="solid">
            <bgColor theme="0"/>
          </patternFill>
        </fill>
      </dxf>
    </rfmt>
    <rfmt sheetId="1" sqref="I1" start="0" length="0">
      <dxf>
        <fill>
          <patternFill patternType="solid">
            <bgColor theme="0"/>
          </patternFill>
        </fill>
      </dxf>
    </rfmt>
    <rfmt sheetId="1" sqref="J1" start="0" length="0">
      <dxf>
        <fill>
          <patternFill patternType="solid">
            <bgColor theme="0"/>
          </patternFill>
        </fill>
      </dxf>
    </rfmt>
  </rrc>
  <rrc rId="5567" sId="1" ref="A1:XFD1" action="deleteRow">
    <undo index="0" exp="area" ref3D="1" dr="$A$1:$F$930" dn="Область_печати" sId="1"/>
    <undo index="0" exp="area" ref3D="1" dr="$B$1:$B$938" dn="Z_F8703169_880A_4977_8713_9386DA2F09A9_.wvu.FilterData" sId="1"/>
    <undo index="0" exp="area" ref3D="1" dr="$A$1:$F$930" dn="Z_D9B90A86_BE39_4FED_8226_084809D277F3_.wvu.PrintArea" sId="1"/>
    <undo index="0" exp="area" ref3D="1" dr="$C$1:$C$938" dn="Z_D9B90A86_BE39_4FED_8226_084809D277F3_.wvu.FilterData" sId="1"/>
    <undo index="0" exp="area" ref3D="1" dr="$B$1:$B$938" dn="Z_C401343A_675B_4FC1_A6F5_67CE31618685_.wvu.FilterData" sId="1"/>
    <undo index="0" exp="area" ref3D="1" dr="$A$1:$F$930" dn="Z_9A752CC5_36AC_48BE_BF4B_1A38C4015906_.wvu.PrintArea" sId="1"/>
    <undo index="0" exp="area" ref3D="1" dr="$B$1:$B$938" dn="Z_9A752CC5_36AC_48BE_BF4B_1A38C4015906_.wvu.FilterData" sId="1"/>
    <undo index="0" exp="area" ref3D="1" dr="$B$1:$B$938" dn="Z_7E5C1749_FF4E_4347_A58E_2DEF63C9D9CB_.wvu.FilterData" sId="1"/>
    <undo index="0" exp="area" ref3D="1" dr="$B$1:$B$938" dn="Z_6F8BA463_0055_46DE_8D23_E8E86D83EC4B_.wvu.FilterData" sId="1"/>
    <undo index="0" exp="area" ref3D="1" dr="$B$1:$B$938" dn="Z_683BEDAB_5AF7_4F46_BC3A_F9D325B8EF01_.wvu.FilterData" sId="1"/>
    <undo index="0" exp="area" ref3D="1" dr="$A$1:$F$930" dn="Z_547FB17C_1FA3_4D81_B22A_42218056849D_.wvu.PrintArea" sId="1"/>
    <undo index="0" exp="area" ref3D="1" dr="$B$1:$B$938" dn="Z_547FB17C_1FA3_4D81_B22A_42218056849D_.wvu.FilterData" sId="1"/>
    <undo index="0" exp="area" ref3D="1" dr="$A$298:$XFD$306" dn="Z_30E81E54_DD45_4653_9DCD_548F6723F554_.wvu.Rows" sId="1"/>
    <undo index="0" exp="area" ref3D="1" dr="$A$1:$F$930" dn="Z_30E81E54_DD45_4653_9DCD_548F6723F554_.wvu.PrintArea" sId="1"/>
    <undo index="0" exp="area" ref3D="1" dr="$A$1:$A$943" dn="Z_30E81E54_DD45_4653_9DCD_548F6723F554_.wvu.FilterData" sId="1"/>
    <undo index="0" exp="area" ref3D="1" dr="$C$1:$C$938" dn="_ФильтрБазыДанных" sId="1"/>
    <rfmt sheetId="1" xfDxf="1" sqref="A1:XFD1" start="0" length="0">
      <dxf>
        <font>
          <name val="Times New Roman"/>
          <scheme val="none"/>
        </font>
        <alignment vertical="center" readingOrder="0"/>
      </dxf>
    </rfmt>
    <rfmt sheetId="1" s="1" sqref="A1" start="0" length="0">
      <dxf>
        <numFmt numFmtId="30" formatCode="@"/>
        <fill>
          <patternFill patternType="solid">
            <bgColor theme="0"/>
          </patternFill>
        </fill>
        <alignment horizontal="right" readingOrder="0"/>
      </dxf>
    </rfmt>
    <rfmt sheetId="1" s="1" sqref="B1" start="0" length="0">
      <dxf>
        <numFmt numFmtId="30" formatCode="@"/>
        <fill>
          <patternFill patternType="solid">
            <bgColor theme="0"/>
          </patternFill>
        </fill>
        <alignment horizontal="right" readingOrder="0"/>
      </dxf>
    </rfmt>
    <rfmt sheetId="1" sqref="C1" start="0" length="0">
      <dxf>
        <fill>
          <patternFill patternType="solid">
            <bgColor theme="0"/>
          </patternFill>
        </fill>
        <alignment horizontal="right" readingOrder="0"/>
      </dxf>
    </rfmt>
    <rfmt sheetId="1" sqref="D1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right" readingOrder="0"/>
      </dxf>
    </rfmt>
    <rfmt sheetId="1" sqref="E1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right" readingOrder="0"/>
      </dxf>
    </rfmt>
    <rcc rId="0" sId="1" dxf="1">
      <nc r="F1" t="inlineStr">
        <is>
          <t>к решению собрания депутатов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right" readingOrder="0"/>
      </ndxf>
    </rcc>
    <rfmt sheetId="1" sqref="G1" start="0" length="0">
      <dxf>
        <fill>
          <patternFill patternType="solid">
            <bgColor theme="0"/>
          </patternFill>
        </fill>
      </dxf>
    </rfmt>
    <rfmt sheetId="1" sqref="H1" start="0" length="0">
      <dxf>
        <fill>
          <patternFill patternType="solid">
            <bgColor theme="0"/>
          </patternFill>
        </fill>
      </dxf>
    </rfmt>
    <rfmt sheetId="1" sqref="I1" start="0" length="0">
      <dxf>
        <fill>
          <patternFill patternType="solid">
            <bgColor theme="0"/>
          </patternFill>
        </fill>
      </dxf>
    </rfmt>
    <rfmt sheetId="1" sqref="J1" start="0" length="0">
      <dxf>
        <fill>
          <patternFill patternType="solid">
            <bgColor theme="0"/>
          </patternFill>
        </fill>
      </dxf>
    </rfmt>
  </rrc>
  <rrc rId="5568" sId="1" ref="A1:XFD1" action="deleteRow">
    <undo index="0" exp="area" ref3D="1" dr="$A$1:$F$929" dn="Область_печати" sId="1"/>
    <undo index="0" exp="area" ref3D="1" dr="$B$1:$B$937" dn="Z_F8703169_880A_4977_8713_9386DA2F09A9_.wvu.FilterData" sId="1"/>
    <undo index="0" exp="area" ref3D="1" dr="$A$1:$F$929" dn="Z_D9B90A86_BE39_4FED_8226_084809D277F3_.wvu.PrintArea" sId="1"/>
    <undo index="0" exp="area" ref3D="1" dr="$C$1:$C$937" dn="Z_D9B90A86_BE39_4FED_8226_084809D277F3_.wvu.FilterData" sId="1"/>
    <undo index="0" exp="area" ref3D="1" dr="$B$1:$B$937" dn="Z_C401343A_675B_4FC1_A6F5_67CE31618685_.wvu.FilterData" sId="1"/>
    <undo index="0" exp="area" ref3D="1" dr="$A$1:$F$929" dn="Z_9A752CC5_36AC_48BE_BF4B_1A38C4015906_.wvu.PrintArea" sId="1"/>
    <undo index="0" exp="area" ref3D="1" dr="$B$1:$B$937" dn="Z_9A752CC5_36AC_48BE_BF4B_1A38C4015906_.wvu.FilterData" sId="1"/>
    <undo index="0" exp="area" ref3D="1" dr="$B$1:$B$937" dn="Z_7E5C1749_FF4E_4347_A58E_2DEF63C9D9CB_.wvu.FilterData" sId="1"/>
    <undo index="0" exp="area" ref3D="1" dr="$B$1:$B$937" dn="Z_6F8BA463_0055_46DE_8D23_E8E86D83EC4B_.wvu.FilterData" sId="1"/>
    <undo index="0" exp="area" ref3D="1" dr="$B$1:$B$937" dn="Z_683BEDAB_5AF7_4F46_BC3A_F9D325B8EF01_.wvu.FilterData" sId="1"/>
    <undo index="0" exp="area" ref3D="1" dr="$A$1:$F$929" dn="Z_547FB17C_1FA3_4D81_B22A_42218056849D_.wvu.PrintArea" sId="1"/>
    <undo index="0" exp="area" ref3D="1" dr="$B$1:$B$937" dn="Z_547FB17C_1FA3_4D81_B22A_42218056849D_.wvu.FilterData" sId="1"/>
    <undo index="0" exp="area" ref3D="1" dr="$A$297:$XFD$305" dn="Z_30E81E54_DD45_4653_9DCD_548F6723F554_.wvu.Rows" sId="1"/>
    <undo index="0" exp="area" ref3D="1" dr="$A$1:$F$929" dn="Z_30E81E54_DD45_4653_9DCD_548F6723F554_.wvu.PrintArea" sId="1"/>
    <undo index="0" exp="area" ref3D="1" dr="$A$1:$A$942" dn="Z_30E81E54_DD45_4653_9DCD_548F6723F554_.wvu.FilterData" sId="1"/>
    <undo index="0" exp="area" ref3D="1" dr="$C$1:$C$937" dn="_ФильтрБазыДанных" sId="1"/>
    <rfmt sheetId="1" xfDxf="1" sqref="A1:XFD1" start="0" length="0">
      <dxf>
        <font>
          <name val="Times New Roman"/>
          <scheme val="none"/>
        </font>
        <alignment vertical="center" readingOrder="0"/>
      </dxf>
    </rfmt>
    <rfmt sheetId="1" s="1" sqref="A1" start="0" length="0">
      <dxf>
        <numFmt numFmtId="30" formatCode="@"/>
        <fill>
          <patternFill patternType="solid">
            <bgColor theme="0"/>
          </patternFill>
        </fill>
        <alignment horizontal="right" wrapText="1" readingOrder="0"/>
      </dxf>
    </rfmt>
    <rfmt sheetId="1" s="1" sqref="B1" start="0" length="0">
      <dxf>
        <numFmt numFmtId="30" formatCode="@"/>
        <fill>
          <patternFill patternType="solid">
            <bgColor theme="0"/>
          </patternFill>
        </fill>
        <alignment horizontal="right" wrapText="1" readingOrder="0"/>
      </dxf>
    </rfmt>
    <rfmt sheetId="1" sqref="C1" start="0" length="0">
      <dxf>
        <fill>
          <patternFill patternType="solid">
            <bgColor theme="0"/>
          </patternFill>
        </fill>
        <alignment horizontal="right" readingOrder="0"/>
      </dxf>
    </rfmt>
    <rfmt sheetId="1" sqref="D1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right" readingOrder="0"/>
      </dxf>
    </rfmt>
    <rfmt sheetId="1" sqref="E1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right" readingOrder="0"/>
      </dxf>
    </rfmt>
    <rcc rId="0" sId="1" dxf="1">
      <nc r="F1" t="inlineStr">
        <is>
          <t>Плесецкого муниципального округа Архангельской области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right" readingOrder="0"/>
      </ndxf>
    </rcc>
    <rfmt sheetId="1" sqref="G1" start="0" length="0">
      <dxf>
        <fill>
          <patternFill patternType="solid">
            <bgColor theme="0"/>
          </patternFill>
        </fill>
      </dxf>
    </rfmt>
    <rfmt sheetId="1" sqref="H1" start="0" length="0">
      <dxf>
        <fill>
          <patternFill patternType="solid">
            <bgColor theme="0"/>
          </patternFill>
        </fill>
      </dxf>
    </rfmt>
    <rfmt sheetId="1" sqref="I1" start="0" length="0">
      <dxf>
        <fill>
          <patternFill patternType="solid">
            <bgColor theme="0"/>
          </patternFill>
        </fill>
      </dxf>
    </rfmt>
    <rfmt sheetId="1" sqref="J1" start="0" length="0">
      <dxf>
        <fill>
          <patternFill patternType="solid">
            <bgColor theme="0"/>
          </patternFill>
        </fill>
      </dxf>
    </rfmt>
  </rrc>
  <rrc rId="5569" sId="1" ref="A1:XFD1" action="deleteRow">
    <undo index="0" exp="area" ref3D="1" dr="$A$1:$F$928" dn="Область_печати" sId="1"/>
    <undo index="0" exp="area" ref3D="1" dr="$B$1:$B$936" dn="Z_F8703169_880A_4977_8713_9386DA2F09A9_.wvu.FilterData" sId="1"/>
    <undo index="0" exp="area" ref3D="1" dr="$A$1:$F$928" dn="Z_D9B90A86_BE39_4FED_8226_084809D277F3_.wvu.PrintArea" sId="1"/>
    <undo index="0" exp="area" ref3D="1" dr="$C$1:$C$936" dn="Z_D9B90A86_BE39_4FED_8226_084809D277F3_.wvu.FilterData" sId="1"/>
    <undo index="0" exp="area" ref3D="1" dr="$B$1:$B$936" dn="Z_C401343A_675B_4FC1_A6F5_67CE31618685_.wvu.FilterData" sId="1"/>
    <undo index="0" exp="area" ref3D="1" dr="$A$1:$F$928" dn="Z_9A752CC5_36AC_48BE_BF4B_1A38C4015906_.wvu.PrintArea" sId="1"/>
    <undo index="0" exp="area" ref3D="1" dr="$B$1:$B$936" dn="Z_9A752CC5_36AC_48BE_BF4B_1A38C4015906_.wvu.FilterData" sId="1"/>
    <undo index="0" exp="area" ref3D="1" dr="$B$1:$B$936" dn="Z_7E5C1749_FF4E_4347_A58E_2DEF63C9D9CB_.wvu.FilterData" sId="1"/>
    <undo index="0" exp="area" ref3D="1" dr="$B$1:$B$936" dn="Z_6F8BA463_0055_46DE_8D23_E8E86D83EC4B_.wvu.FilterData" sId="1"/>
    <undo index="0" exp="area" ref3D="1" dr="$B$1:$B$936" dn="Z_683BEDAB_5AF7_4F46_BC3A_F9D325B8EF01_.wvu.FilterData" sId="1"/>
    <undo index="0" exp="area" ref3D="1" dr="$A$1:$F$928" dn="Z_547FB17C_1FA3_4D81_B22A_42218056849D_.wvu.PrintArea" sId="1"/>
    <undo index="0" exp="area" ref3D="1" dr="$B$1:$B$936" dn="Z_547FB17C_1FA3_4D81_B22A_42218056849D_.wvu.FilterData" sId="1"/>
    <undo index="0" exp="area" ref3D="1" dr="$A$296:$XFD$304" dn="Z_30E81E54_DD45_4653_9DCD_548F6723F554_.wvu.Rows" sId="1"/>
    <undo index="0" exp="area" ref3D="1" dr="$A$1:$F$928" dn="Z_30E81E54_DD45_4653_9DCD_548F6723F554_.wvu.PrintArea" sId="1"/>
    <undo index="0" exp="area" ref3D="1" dr="$A$1:$A$941" dn="Z_30E81E54_DD45_4653_9DCD_548F6723F554_.wvu.FilterData" sId="1"/>
    <undo index="0" exp="area" ref3D="1" dr="$C$1:$C$936" dn="_ФильтрБазыДанных" sId="1"/>
    <rfmt sheetId="1" xfDxf="1" sqref="A1:XFD1" start="0" length="0">
      <dxf>
        <font>
          <name val="Times New Roman"/>
          <scheme val="none"/>
        </font>
        <alignment vertical="center" readingOrder="0"/>
      </dxf>
    </rfmt>
    <rfmt sheetId="1" s="1" sqref="A1" start="0" length="0">
      <dxf>
        <numFmt numFmtId="30" formatCode="@"/>
        <fill>
          <patternFill patternType="solid">
            <bgColor theme="0"/>
          </patternFill>
        </fill>
        <alignment horizontal="right" wrapText="1" readingOrder="0"/>
      </dxf>
    </rfmt>
    <rfmt sheetId="1" s="1" sqref="B1" start="0" length="0">
      <dxf>
        <numFmt numFmtId="30" formatCode="@"/>
        <fill>
          <patternFill patternType="solid">
            <bgColor theme="0"/>
          </patternFill>
        </fill>
        <alignment horizontal="right" wrapText="1" readingOrder="0"/>
      </dxf>
    </rfmt>
    <rfmt sheetId="1" sqref="C1" start="0" length="0">
      <dxf>
        <fill>
          <patternFill patternType="solid">
            <bgColor theme="0"/>
          </patternFill>
        </fill>
        <alignment horizontal="right" readingOrder="0"/>
      </dxf>
    </rfmt>
    <rfmt sheetId="1" sqref="D1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right" readingOrder="0"/>
      </dxf>
    </rfmt>
    <rfmt sheetId="1" sqref="E1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right" readingOrder="0"/>
      </dxf>
    </rfmt>
    <rcc rId="0" sId="1" dxf="1">
      <nc r="F1" t="inlineStr">
        <is>
          <t xml:space="preserve">от                  ноября 2024 года №   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right" readingOrder="0"/>
      </ndxf>
    </rcc>
    <rfmt sheetId="1" sqref="G1" start="0" length="0">
      <dxf>
        <fill>
          <patternFill patternType="solid">
            <bgColor theme="0"/>
          </patternFill>
        </fill>
      </dxf>
    </rfmt>
    <rfmt sheetId="1" sqref="H1" start="0" length="0">
      <dxf>
        <fill>
          <patternFill patternType="solid">
            <bgColor theme="0"/>
          </patternFill>
        </fill>
      </dxf>
    </rfmt>
    <rfmt sheetId="1" sqref="I1" start="0" length="0">
      <dxf>
        <fill>
          <patternFill patternType="solid">
            <bgColor theme="0"/>
          </patternFill>
        </fill>
      </dxf>
    </rfmt>
    <rfmt sheetId="1" sqref="J1" start="0" length="0">
      <dxf>
        <fill>
          <patternFill patternType="solid">
            <bgColor theme="0"/>
          </patternFill>
        </fill>
      </dxf>
    </rfmt>
  </rrc>
  <rcc rId="5570" sId="1">
    <oc r="F5" t="inlineStr">
      <is>
        <t xml:space="preserve">от 19 декабря 2023 года №183 </t>
      </is>
    </oc>
    <nc r="F5" t="inlineStr">
      <is>
        <t xml:space="preserve">от    декабря 2024 года № </t>
      </is>
    </nc>
  </rcc>
  <rcc rId="5571" sId="1">
    <oc r="D12" t="inlineStr">
      <is>
        <t>2024 год</t>
      </is>
    </oc>
    <nc r="D12" t="inlineStr">
      <is>
        <t>2025 год</t>
      </is>
    </nc>
  </rcc>
  <rcc rId="5572" sId="1">
    <oc r="E12" t="inlineStr">
      <is>
        <t>2025 год</t>
      </is>
    </oc>
    <nc r="E12" t="inlineStr">
      <is>
        <t>2026 год</t>
      </is>
    </nc>
  </rcc>
  <rcc rId="5573" sId="1">
    <oc r="F12" t="inlineStr">
      <is>
        <t>2026 год</t>
      </is>
    </oc>
    <nc r="F12" t="inlineStr">
      <is>
        <t>2027 год</t>
      </is>
    </nc>
  </rcc>
  <rfmt sheetId="1" sqref="A1:F1048576">
    <dxf>
      <fill>
        <patternFill>
          <bgColor rgb="FFFFFF00"/>
        </patternFill>
      </fill>
    </dxf>
  </rfmt>
  <rcc rId="5574" sId="1">
    <oc r="A8" t="inlineStr">
      <is>
    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Плесецкого муниципального округа  на 2024 год и на плановый период 2025 и 2026 годов</t>
      </is>
    </oc>
    <nc r="A8" t="inlineStr">
      <is>
    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Плесецкого муниципального округа  на 2025 год и на плановый период 2026 и 2027 годов</t>
      </is>
    </nc>
  </rcc>
  <rcv guid="{9A752CC5-36AC-48BE-BF4B-1A38C4015906}" action="delete"/>
  <rdn rId="0" localSheetId="1" customView="1" name="Z_9A752CC5_36AC_48BE_BF4B_1A38C4015906_.wvu.PrintArea" hidden="1" oldHidden="1">
    <formula>'программы '!$A$1:$F$927</formula>
    <oldFormula>'программы '!$A$1:$F$927</oldFormula>
  </rdn>
  <rdn rId="0" localSheetId="1" customView="1" name="Z_9A752CC5_36AC_48BE_BF4B_1A38C4015906_.wvu.FilterData" hidden="1" oldHidden="1">
    <formula>'программы '!$C$1:$C$935</formula>
    <oldFormula>'программы '!$B$1:$B$935</oldFormula>
  </rdn>
  <rcv guid="{9A752CC5-36AC-48BE-BF4B-1A38C4015906}" action="add"/>
</revisions>
</file>

<file path=xl/revisions/revisionLog1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92" sId="1" ref="A930:XFD930" action="insertRow"/>
  <rcc rId="4793" sId="1">
    <nc r="C930">
      <v>243</v>
    </nc>
  </rcc>
  <rcc rId="4794" sId="1">
    <nc r="B930" t="inlineStr">
      <is>
        <t>67 0 00 S8890</t>
      </is>
    </nc>
  </rcc>
  <rcc rId="4795" sId="1" odxf="1" dxf="1">
    <nc r="A930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4796" sId="1" numFmtId="34">
    <nc r="D930">
      <v>2850000</v>
    </nc>
  </rcc>
  <rcc rId="4797" sId="1">
    <oc r="D929">
      <f>D931</f>
    </oc>
    <nc r="D929">
      <f>D931+D930</f>
    </nc>
  </rcc>
  <rcc rId="4798" sId="1">
    <oc r="E929">
      <f>E931</f>
    </oc>
    <nc r="E929">
      <f>E931+E930</f>
    </nc>
  </rcc>
  <rcc rId="4799" sId="1">
    <oc r="F929">
      <f>F931</f>
    </oc>
    <nc r="F929">
      <f>F931+F930</f>
    </nc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930:XFD930">
    <dxf>
      <fill>
        <patternFill>
          <bgColor rgb="FFFFFF00"/>
        </patternFill>
      </fill>
    </dxf>
  </rfmt>
  <rcc rId="4800" sId="1" numFmtId="34">
    <oc r="D931">
      <v>11409500</v>
    </oc>
    <nc r="D931">
      <f>11409500-2850000</f>
    </nc>
  </rcc>
  <rfmt sheetId="1" sqref="D931">
    <dxf>
      <fill>
        <patternFill patternType="solid">
          <bgColor rgb="FFFFFF00"/>
        </patternFill>
      </fill>
    </dxf>
  </rfmt>
  <rrc rId="4801" sId="1" ref="A940:XFD940" action="insertRow"/>
  <rcc rId="4802" sId="1">
    <nc r="C940">
      <v>243</v>
    </nc>
  </rcc>
  <rcc rId="4803" sId="1">
    <nc r="B940" t="inlineStr">
      <is>
        <t>67 0 00 88890</t>
      </is>
    </nc>
  </rcc>
  <rcc rId="4804" sId="1" odxf="1" dxf="1">
    <nc r="A940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4805" sId="1">
    <oc r="D939">
      <f>D941</f>
    </oc>
    <nc r="D939">
      <f>D941+D940</f>
    </nc>
  </rcc>
  <rcc rId="4806" sId="1">
    <oc r="E939">
      <f>E941</f>
    </oc>
    <nc r="E939">
      <f>E941+E940</f>
    </nc>
  </rcc>
  <rcc rId="4807" sId="1">
    <oc r="F939">
      <f>F941</f>
    </oc>
    <nc r="F939">
      <f>F941+F940</f>
    </nc>
  </rcc>
  <rcc rId="4808" sId="1" numFmtId="34">
    <nc r="D940">
      <v>150000</v>
    </nc>
  </rcc>
  <rfmt sheetId="1" sqref="A940:XFD940">
    <dxf>
      <fill>
        <patternFill>
          <bgColor rgb="FFFFFF00"/>
        </patternFill>
      </fill>
    </dxf>
  </rfmt>
  <rfmt sheetId="1" sqref="D941">
    <dxf>
      <fill>
        <patternFill patternType="solid">
          <bgColor rgb="FFFFFF00"/>
        </patternFill>
      </fill>
    </dxf>
  </rfmt>
  <rcc rId="4809" sId="1" numFmtId="34">
    <oc r="D941">
      <v>600500</v>
    </oc>
    <nc r="D941">
      <f>600500-150000</f>
    </nc>
  </rcc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9" sId="1" ref="A83:XFD83" action="insertRow">
    <undo index="0" exp="area" ref3D="1" dr="$A$232:$XFD$236" dn="Z_30E81E54_DD45_4653_9DCD_548F6723F554_.wvu.Rows" sId="1"/>
  </rrc>
  <rrc rId="2780" sId="1" ref="A83:XFD83" action="insertRow">
    <undo index="0" exp="area" ref3D="1" dr="$A$233:$XFD$237" dn="Z_30E81E54_DD45_4653_9DCD_548F6723F554_.wvu.Rows" sId="1"/>
  </rrc>
  <rrc rId="2781" sId="1" ref="A83:XFD83" action="insertRow">
    <undo index="0" exp="area" ref3D="1" dr="$A$234:$XFD$238" dn="Z_30E81E54_DD45_4653_9DCD_548F6723F554_.wvu.Rows" sId="1"/>
  </rrc>
  <rcc rId="2782" sId="1" odxf="1" dxf="1">
    <nc r="A83" t="inlineStr">
      <is>
        <t>Закупка товаров, работ и услуг для обеспечения государственных (муниципальных) нужд</t>
      </is>
    </nc>
    <odxf>
      <alignment vertical="center" readingOrder="0"/>
      <border outline="0">
        <top style="thin">
          <color indexed="64"/>
        </top>
        <bottom/>
      </border>
    </odxf>
    <ndxf>
      <alignment vertical="top" readingOrder="0"/>
      <border outline="0">
        <top/>
        <bottom style="thin">
          <color indexed="64"/>
        </bottom>
      </border>
    </ndxf>
  </rcc>
  <rcc rId="2783" sId="1" odxf="1" dxf="1">
    <nc r="A84" t="inlineStr">
      <is>
        <t>Иные закупки товаров,работ и услуг для обеспечения государственных (муниципальных) нужд</t>
      </is>
    </nc>
    <odxf>
      <alignment vertical="center" readingOrder="0"/>
      <border outline="0">
        <top style="thin">
          <color indexed="64"/>
        </top>
        <bottom/>
      </border>
    </odxf>
    <ndxf>
      <alignment vertical="top" readingOrder="0"/>
      <border outline="0">
        <top/>
        <bottom style="thin">
          <color indexed="64"/>
        </bottom>
      </border>
    </ndxf>
  </rcc>
  <rcc rId="2784" sId="1" odxf="1" dxf="1">
    <nc r="A85" t="inlineStr">
      <is>
        <t xml:space="preserve">Прочая закупка товаров, работ и услуг </t>
      </is>
    </nc>
    <odxf>
      <alignment vertical="center" readingOrder="0"/>
      <border outline="0">
        <top style="thin">
          <color indexed="64"/>
        </top>
        <bottom/>
      </border>
    </odxf>
    <ndxf>
      <alignment vertical="top" readingOrder="0"/>
      <border outline="0">
        <top/>
        <bottom style="thin">
          <color indexed="64"/>
        </bottom>
      </border>
    </ndxf>
  </rcc>
  <rcc rId="2785" sId="1">
    <nc r="B85" t="inlineStr">
      <is>
        <t>03 2 00 80450</t>
      </is>
    </nc>
  </rcc>
  <rcc rId="2786" sId="1">
    <nc r="B84" t="inlineStr">
      <is>
        <t>03 2 00 80450</t>
      </is>
    </nc>
  </rcc>
  <rcc rId="2787" sId="1">
    <nc r="B83" t="inlineStr">
      <is>
        <t>03 2 00 80450</t>
      </is>
    </nc>
  </rcc>
  <rcc rId="2788" sId="1">
    <nc r="C83">
      <v>200</v>
    </nc>
  </rcc>
  <rcc rId="2789" sId="1">
    <nc r="C84">
      <v>240</v>
    </nc>
  </rcc>
  <rcc rId="2790" sId="1">
    <nc r="C85">
      <v>244</v>
    </nc>
  </rcc>
  <rcc rId="2791" sId="1" numFmtId="34">
    <nc r="D85">
      <v>253536</v>
    </nc>
  </rcc>
  <rcc rId="2792" sId="1" numFmtId="34">
    <nc r="E85">
      <v>0</v>
    </nc>
  </rcc>
  <rcc rId="2793" sId="1" numFmtId="34">
    <nc r="F85">
      <v>0</v>
    </nc>
  </rcc>
  <rcc rId="2794" sId="1">
    <nc r="D84">
      <f>D85</f>
    </nc>
  </rcc>
  <rcc rId="2795" sId="1">
    <nc r="E84">
      <f>E85</f>
    </nc>
  </rcc>
  <rcc rId="2796" sId="1">
    <nc r="F84">
      <f>F85</f>
    </nc>
  </rcc>
  <rcc rId="2797" sId="1">
    <nc r="D83">
      <f>D84</f>
    </nc>
  </rcc>
  <rcc rId="2798" sId="1">
    <nc r="E83">
      <f>E84</f>
    </nc>
  </rcc>
  <rcc rId="2799" sId="1">
    <nc r="F83">
      <f>F84</f>
    </nc>
  </rcc>
  <rcc rId="2800" sId="1">
    <oc r="D82">
      <f>D87</f>
    </oc>
    <nc r="D82">
      <f>D87+D83</f>
    </nc>
  </rcc>
  <rcc rId="2801" sId="1">
    <oc r="E82">
      <f>E87</f>
    </oc>
    <nc r="E82">
      <f>E87+E83</f>
    </nc>
  </rcc>
  <rcc rId="2802" sId="1">
    <oc r="F82">
      <f>F87</f>
    </oc>
    <nc r="F82">
      <f>F87+F83</f>
    </nc>
  </rcc>
  <rcv guid="{30E81E54-DD45-4653-9DCD-548F6723F554}" action="delete"/>
  <rdn rId="0" localSheetId="1" customView="1" name="Z_30E81E54_DD45_4653_9DCD_548F6723F554_.wvu.PrintArea" hidden="1" oldHidden="1">
    <formula>'программы '!$A$1:$F$757</formula>
    <oldFormula>'программы '!$A$1:$F$757</oldFormula>
  </rdn>
  <rdn rId="0" localSheetId="1" customView="1" name="Z_30E81E54_DD45_4653_9DCD_548F6723F554_.wvu.Rows" hidden="1" oldHidden="1">
    <formula>'программы '!$235:$239</formula>
    <oldFormula>'программы '!$235:$239</oldFormula>
  </rdn>
  <rdn rId="0" localSheetId="1" customView="1" name="Z_30E81E54_DD45_4653_9DCD_548F6723F554_.wvu.FilterData" hidden="1" oldHidden="1">
    <formula>'программы '!$A$1:$A$770</formula>
    <oldFormula>'программы '!$A$1:$A$770</oldFormula>
  </rdn>
  <rcv guid="{30E81E54-DD45-4653-9DCD-548F6723F554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10" sId="1" ref="A735:XFD735" action="insertRow">
    <undo index="16" exp="area" ref3D="1" dr="$A$855:$XFD$858" dn="Z_9A752CC5_36AC_48BE_BF4B_1A38C4015906_.wvu.Rows" sId="1"/>
    <undo index="14" exp="area" ref3D="1" dr="$A$809:$XFD$812" dn="Z_9A752CC5_36AC_48BE_BF4B_1A38C4015906_.wvu.Rows" sId="1"/>
  </rrc>
  <rcc rId="4811" sId="1">
    <nc r="C735">
      <v>243</v>
    </nc>
  </rcc>
  <rfmt sheetId="1" sqref="A735:XFD735">
    <dxf>
      <fill>
        <patternFill patternType="solid">
          <bgColor rgb="FFFFFF00"/>
        </patternFill>
      </fill>
    </dxf>
  </rfmt>
  <rcc rId="4812" sId="1">
    <nc r="B735" t="inlineStr">
      <is>
        <t>55 0 00 71400</t>
      </is>
    </nc>
  </rcc>
  <rcc rId="4813" sId="1">
    <nc r="A735" t="inlineStr">
      <is>
        <t>Закупка товаров, работ, услуг в целях капитального
ремонта государственного (муниципального) имущества</t>
      </is>
    </nc>
  </rcc>
  <rcc rId="4814" sId="1">
    <oc r="D734">
      <f>D736</f>
    </oc>
    <nc r="D734">
      <f>D736+D735</f>
    </nc>
  </rcc>
  <rcc rId="4815" sId="1">
    <oc r="E734">
      <f>E736</f>
    </oc>
    <nc r="E734">
      <f>E736+E735</f>
    </nc>
  </rcc>
  <rcc rId="4816" sId="1">
    <oc r="F734">
      <f>F736</f>
    </oc>
    <nc r="F734">
      <f>F736+F735</f>
    </nc>
  </rcc>
  <rcc rId="4817" sId="1" numFmtId="34">
    <nc r="D735">
      <v>9233378.3000000007</v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8" sId="1">
    <oc r="A806" t="inlineStr">
      <is>
        <t>Софинансирование на противоаварийные мероприятия и ремонтно-восстановительные работы по проведению текущего ремонта жилищного фонда</t>
      </is>
    </oc>
    <nc r="A806" t="inlineStr">
      <is>
        <t>Софинансирование на противоаварийные мероприятия и ремонтно-восстановительные работы по проведению ремонта жилищного фонда</t>
      </is>
    </nc>
  </rcc>
  <rfmt sheetId="1" sqref="A806">
    <dxf>
      <fill>
        <patternFill patternType="solid">
          <bgColor rgb="FFFFFF00"/>
        </patternFill>
      </fill>
    </dxf>
  </rfmt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19" sId="1" ref="A809:XFD809" action="insertRow">
    <undo index="16" exp="area" ref3D="1" dr="$A$856:$XFD$859" dn="Z_9A752CC5_36AC_48BE_BF4B_1A38C4015906_.wvu.Rows" sId="1"/>
    <undo index="14" exp="area" ref3D="1" dr="$A$810:$XFD$813" dn="Z_9A752CC5_36AC_48BE_BF4B_1A38C4015906_.wvu.Rows" sId="1"/>
  </rrc>
  <rcc rId="4820" sId="1">
    <nc r="C809">
      <v>243</v>
    </nc>
  </rcc>
  <rcc rId="4821" sId="1">
    <nc r="B809" t="inlineStr">
      <is>
        <t>59 0 00 83659</t>
      </is>
    </nc>
  </rcc>
  <rcc rId="4822" sId="1" odxf="1" dxf="1">
    <nc r="A809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4823" sId="1">
    <oc r="D808">
      <f>D810</f>
    </oc>
    <nc r="D808">
      <f>D810+D809</f>
    </nc>
  </rcc>
  <rcc rId="4824" sId="1">
    <oc r="E808">
      <f>E810</f>
    </oc>
    <nc r="E808">
      <f>E810+E809</f>
    </nc>
  </rcc>
  <rcc rId="4825" sId="1">
    <oc r="F808">
      <f>F810</f>
    </oc>
    <nc r="F808">
      <f>F810+F809</f>
    </nc>
  </rcc>
  <rcc rId="4826" sId="1" numFmtId="34">
    <nc r="D809">
      <v>9833380</v>
    </nc>
  </rcc>
  <rfmt sheetId="1" sqref="D809">
    <dxf>
      <fill>
        <patternFill patternType="solid">
          <bgColor rgb="FFFFFF00"/>
        </patternFill>
      </fill>
    </dxf>
  </rfmt>
  <rcc rId="4827" sId="1" numFmtId="34">
    <oc r="D810">
      <v>9233380</v>
    </oc>
    <nc r="D810">
      <f>9233380-9233380</f>
    </nc>
  </rcc>
  <rfmt sheetId="1" sqref="D810">
    <dxf>
      <fill>
        <patternFill patternType="solid">
          <bgColor rgb="FFFFFF00"/>
        </patternFill>
      </fill>
    </dxf>
  </rfmt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28" sId="1" numFmtId="34">
    <oc r="D559">
      <v>45921098.280000001</v>
    </oc>
    <nc r="D559">
      <f>45921098.28-17150081.74</f>
    </nc>
  </rcc>
  <rfmt sheetId="1" sqref="D559">
    <dxf>
      <fill>
        <patternFill patternType="solid">
          <bgColor rgb="FFFFFF00"/>
        </patternFill>
      </fill>
    </dxf>
  </rfmt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29" sId="1">
    <oc r="D532">
      <f>55099.99+1375048.64</f>
    </oc>
    <nc r="D532">
      <f>55099.99+1375048.64-600000</f>
    </nc>
  </rcc>
  <rfmt sheetId="1" sqref="D532">
    <dxf>
      <fill>
        <patternFill patternType="solid">
          <bgColor rgb="FFFFFF00"/>
        </patternFill>
      </fill>
    </dxf>
  </rfmt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30" sId="1" ref="A537:XFD537" action="insertRow">
    <undo index="16" exp="area" ref3D="1" dr="$A$857:$XFD$860" dn="Z_9A752CC5_36AC_48BE_BF4B_1A38C4015906_.wvu.Rows" sId="1"/>
    <undo index="14" exp="area" ref3D="1" dr="$A$811:$XFD$814" dn="Z_9A752CC5_36AC_48BE_BF4B_1A38C4015906_.wvu.Rows" sId="1"/>
    <undo index="12" exp="area" ref3D="1" dr="$A$589:$XFD$590" dn="Z_9A752CC5_36AC_48BE_BF4B_1A38C4015906_.wvu.Rows" sId="1"/>
    <undo index="10" exp="area" ref3D="1" dr="$A$552:$XFD$555" dn="Z_9A752CC5_36AC_48BE_BF4B_1A38C4015906_.wvu.Rows" sId="1"/>
    <undo index="8" exp="area" ref3D="1" dr="$A$538:$XFD$541" dn="Z_9A752CC5_36AC_48BE_BF4B_1A38C4015906_.wvu.Rows" sId="1"/>
  </rrc>
  <rrc rId="4831" sId="1" ref="A537:XFD537" action="insertRow">
    <undo index="16" exp="area" ref3D="1" dr="$A$858:$XFD$861" dn="Z_9A752CC5_36AC_48BE_BF4B_1A38C4015906_.wvu.Rows" sId="1"/>
    <undo index="14" exp="area" ref3D="1" dr="$A$812:$XFD$815" dn="Z_9A752CC5_36AC_48BE_BF4B_1A38C4015906_.wvu.Rows" sId="1"/>
    <undo index="12" exp="area" ref3D="1" dr="$A$590:$XFD$591" dn="Z_9A752CC5_36AC_48BE_BF4B_1A38C4015906_.wvu.Rows" sId="1"/>
    <undo index="10" exp="area" ref3D="1" dr="$A$553:$XFD$556" dn="Z_9A752CC5_36AC_48BE_BF4B_1A38C4015906_.wvu.Rows" sId="1"/>
    <undo index="8" exp="area" ref3D="1" dr="$A$539:$XFD$542" dn="Z_9A752CC5_36AC_48BE_BF4B_1A38C4015906_.wvu.Rows" sId="1"/>
  </rrc>
  <rrc rId="4832" sId="1" ref="A537:XFD537" action="insertRow">
    <undo index="16" exp="area" ref3D="1" dr="$A$859:$XFD$862" dn="Z_9A752CC5_36AC_48BE_BF4B_1A38C4015906_.wvu.Rows" sId="1"/>
    <undo index="14" exp="area" ref3D="1" dr="$A$813:$XFD$816" dn="Z_9A752CC5_36AC_48BE_BF4B_1A38C4015906_.wvu.Rows" sId="1"/>
    <undo index="12" exp="area" ref3D="1" dr="$A$591:$XFD$592" dn="Z_9A752CC5_36AC_48BE_BF4B_1A38C4015906_.wvu.Rows" sId="1"/>
    <undo index="10" exp="area" ref3D="1" dr="$A$554:$XFD$557" dn="Z_9A752CC5_36AC_48BE_BF4B_1A38C4015906_.wvu.Rows" sId="1"/>
    <undo index="8" exp="area" ref3D="1" dr="$A$540:$XFD$543" dn="Z_9A752CC5_36AC_48BE_BF4B_1A38C4015906_.wvu.Rows" sId="1"/>
  </rrc>
  <rrc rId="4833" sId="1" ref="A537:XFD537" action="insertRow">
    <undo index="16" exp="area" ref3D="1" dr="$A$860:$XFD$863" dn="Z_9A752CC5_36AC_48BE_BF4B_1A38C4015906_.wvu.Rows" sId="1"/>
    <undo index="14" exp="area" ref3D="1" dr="$A$814:$XFD$817" dn="Z_9A752CC5_36AC_48BE_BF4B_1A38C4015906_.wvu.Rows" sId="1"/>
    <undo index="12" exp="area" ref3D="1" dr="$A$592:$XFD$593" dn="Z_9A752CC5_36AC_48BE_BF4B_1A38C4015906_.wvu.Rows" sId="1"/>
    <undo index="10" exp="area" ref3D="1" dr="$A$555:$XFD$558" dn="Z_9A752CC5_36AC_48BE_BF4B_1A38C4015906_.wvu.Rows" sId="1"/>
    <undo index="8" exp="area" ref3D="1" dr="$A$541:$XFD$544" dn="Z_9A752CC5_36AC_48BE_BF4B_1A38C4015906_.wvu.Rows" sId="1"/>
  </rrc>
  <rcc rId="4834" sId="1">
    <nc r="C540">
      <v>244</v>
    </nc>
  </rcc>
  <rcc rId="4835" sId="1">
    <nc r="C539">
      <v>240</v>
    </nc>
  </rcc>
  <rcc rId="4836" sId="1">
    <nc r="C538">
      <v>200</v>
    </nc>
  </rcc>
  <rcc rId="4837" sId="1">
    <nc r="B540" t="inlineStr">
      <is>
        <t>17 0 00 Э8840</t>
      </is>
    </nc>
  </rcc>
  <rcc rId="4838" sId="1">
    <nc r="B539" t="inlineStr">
      <is>
        <t>17 0 00 Э8840</t>
      </is>
    </nc>
  </rcc>
  <rcc rId="4839" sId="1">
    <nc r="B538" t="inlineStr">
      <is>
        <t>17 0 00 Э8840</t>
      </is>
    </nc>
  </rcc>
  <rcc rId="4840" sId="1">
    <nc r="B537" t="inlineStr">
      <is>
        <t>17 0 00 Э8840</t>
      </is>
    </nc>
  </rcc>
  <rcc rId="4841" sId="1">
    <nc r="A540" t="inlineStr">
      <is>
        <t>Прочая закупка товаров, работ и услуг</t>
      </is>
    </nc>
  </rcc>
  <rcc rId="4842" sId="1">
    <nc r="A539" t="inlineStr">
      <is>
        <t>Иные закупки товаров, работ и услуг для обеспечения государственных (муниципальных) нужд</t>
      </is>
    </nc>
  </rcc>
  <rcc rId="4843" sId="1">
    <nc r="A538" t="inlineStr">
      <is>
        <t>Закупка товаров, работ и услуг для обеспечения государственных (муниципальных) нужд</t>
      </is>
    </nc>
  </rcc>
  <rcc rId="4844" sId="1">
    <nc r="A537" t="inlineStr">
      <is>
        <t>Благоустройство территорий и приобретение уборочной и коммунальной техники</t>
      </is>
    </nc>
  </rcc>
  <rcc rId="4845" sId="1">
    <nc r="D539">
      <f>D540</f>
    </nc>
  </rcc>
  <rcc rId="4846" sId="1">
    <nc r="E539">
      <f>E540</f>
    </nc>
  </rcc>
  <rcc rId="4847" sId="1">
    <nc r="F539">
      <f>F540</f>
    </nc>
  </rcc>
  <rcc rId="4848" sId="1">
    <nc r="D538">
      <f>D539</f>
    </nc>
  </rcc>
  <rcc rId="4849" sId="1">
    <nc r="E538">
      <f>E539</f>
    </nc>
  </rcc>
  <rcc rId="4850" sId="1">
    <nc r="F538">
      <f>F539</f>
    </nc>
  </rcc>
  <rcc rId="4851" sId="1">
    <nc r="D537">
      <f>D538</f>
    </nc>
  </rcc>
  <rcc rId="4852" sId="1">
    <nc r="E537">
      <f>E538</f>
    </nc>
  </rcc>
  <rcc rId="4853" sId="1">
    <nc r="F537">
      <f>F538</f>
    </nc>
  </rcc>
  <rfmt sheetId="1" sqref="A537:XFD540">
    <dxf>
      <fill>
        <patternFill>
          <bgColor rgb="FFFFFF00"/>
        </patternFill>
      </fill>
    </dxf>
  </rfmt>
  <rcc rId="4854" sId="1">
    <oc r="D528">
      <f>D541+D529+D533</f>
    </oc>
    <nc r="D528">
      <f>D541+D529+D533+D537</f>
    </nc>
  </rcc>
  <rcc rId="4855" sId="1">
    <oc r="E528">
      <f>E541+E529+E533</f>
    </oc>
    <nc r="E528">
      <f>E541+E529+E533+E537</f>
    </nc>
  </rcc>
  <rcc rId="4856" sId="1">
    <oc r="F528">
      <f>F541+F529+F533</f>
    </oc>
    <nc r="F528">
      <f>F541+F529+F533+F537</f>
    </nc>
  </rcc>
  <rcc rId="4857" sId="1" numFmtId="34">
    <nc r="E540">
      <v>31215680.18</v>
    </nc>
  </rcc>
  <rcv guid="{D9B90A86-BE39-4FED-8226-084809D277F3}" action="delete"/>
  <rdn rId="0" localSheetId="1" customView="1" name="Z_D9B90A86_BE39_4FED_8226_084809D277F3_.wvu.PrintArea" hidden="1" oldHidden="1">
    <formula>'программы '!$A$1:$F$961</formula>
    <oldFormula>'программы '!$A$1:$F$961</oldFormula>
  </rdn>
  <rdn rId="0" localSheetId="1" customView="1" name="Z_D9B90A86_BE39_4FED_8226_084809D277F3_.wvu.FilterData" hidden="1" oldHidden="1">
    <formula>'программы '!$C$1:$C$969</formula>
    <oldFormula>'программы '!$C$1:$C$969</oldFormula>
  </rdn>
  <rcv guid="{D9B90A86-BE39-4FED-8226-084809D277F3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6910" sId="1" odxf="1" dxf="1">
    <oc r="A156" t="inlineStr">
      <is>
    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    </is>
    </oc>
    <nc r="A156" t="inlineStr">
      <is>
        <t xml:space="preserve"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 </t>
      </is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A156">
    <dxf>
      <fill>
        <patternFill patternType="none">
          <bgColor auto="1"/>
        </patternFill>
      </fill>
    </dxf>
  </rfmt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0" sId="1" numFmtId="34">
    <oc r="D549">
      <v>5042333.07</v>
    </oc>
    <nc r="D549">
      <f>5042333.07-17.14</f>
    </nc>
  </rcc>
  <rfmt sheetId="1" sqref="D549">
    <dxf>
      <fill>
        <patternFill patternType="solid">
          <bgColor rgb="FFFFFF00"/>
        </patternFill>
      </fill>
    </dxf>
  </rfmt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1" sId="1" numFmtId="34">
    <nc r="F540">
      <v>49042818.079999998</v>
    </nc>
  </rcc>
  <rcv guid="{D9B90A86-BE39-4FED-8226-084809D277F3}" action="delete"/>
  <rdn rId="0" localSheetId="1" customView="1" name="Z_D9B90A86_BE39_4FED_8226_084809D277F3_.wvu.PrintArea" hidden="1" oldHidden="1">
    <formula>'программы '!$A$1:$F$961</formula>
    <oldFormula>'программы '!$A$1:$F$961</oldFormula>
  </rdn>
  <rdn rId="0" localSheetId="1" customView="1" name="Z_D9B90A86_BE39_4FED_8226_084809D277F3_.wvu.FilterData" hidden="1" oldHidden="1">
    <formula>'программы '!$C$1:$C$969</formula>
    <oldFormula>'программы '!$C$1:$C$969</oldFormula>
  </rdn>
  <rcv guid="{D9B90A86-BE39-4FED-8226-084809D277F3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64" sId="1" ref="A83:XFD83" action="insertRow">
    <undo index="0" exp="area" ref3D="1" dr="$A$306:$XFD$314" dn="Z_30E81E54_DD45_4653_9DCD_548F6723F554_.wvu.Rows" sId="1"/>
    <undo index="16" exp="area" ref3D="1" dr="$A$861:$XFD$864" dn="Z_9A752CC5_36AC_48BE_BF4B_1A38C4015906_.wvu.Rows" sId="1"/>
    <undo index="14" exp="area" ref3D="1" dr="$A$815:$XFD$818" dn="Z_9A752CC5_36AC_48BE_BF4B_1A38C4015906_.wvu.Rows" sId="1"/>
    <undo index="12" exp="area" ref3D="1" dr="$A$593:$XFD$594" dn="Z_9A752CC5_36AC_48BE_BF4B_1A38C4015906_.wvu.Rows" sId="1"/>
    <undo index="10" exp="area" ref3D="1" dr="$A$556:$XFD$559" dn="Z_9A752CC5_36AC_48BE_BF4B_1A38C4015906_.wvu.Rows" sId="1"/>
    <undo index="8" exp="area" ref3D="1" dr="$A$542:$XFD$545" dn="Z_9A752CC5_36AC_48BE_BF4B_1A38C4015906_.wvu.Rows" sId="1"/>
    <undo index="6" exp="area" ref3D="1" dr="$A$355:$XFD$357" dn="Z_9A752CC5_36AC_48BE_BF4B_1A38C4015906_.wvu.Rows" sId="1"/>
    <undo index="4" exp="area" ref3D="1" dr="$A$334:$XFD$337" dn="Z_9A752CC5_36AC_48BE_BF4B_1A38C4015906_.wvu.Rows" sId="1"/>
    <undo index="2" exp="area" ref3D="1" dr="$A$162:$XFD$165" dn="Z_9A752CC5_36AC_48BE_BF4B_1A38C4015906_.wvu.Rows" sId="1"/>
  </rrc>
  <rrc rId="4865" sId="1" ref="A83:XFD83" action="insertRow">
    <undo index="0" exp="area" ref3D="1" dr="$A$307:$XFD$315" dn="Z_30E81E54_DD45_4653_9DCD_548F6723F554_.wvu.Rows" sId="1"/>
    <undo index="16" exp="area" ref3D="1" dr="$A$862:$XFD$865" dn="Z_9A752CC5_36AC_48BE_BF4B_1A38C4015906_.wvu.Rows" sId="1"/>
    <undo index="14" exp="area" ref3D="1" dr="$A$816:$XFD$819" dn="Z_9A752CC5_36AC_48BE_BF4B_1A38C4015906_.wvu.Rows" sId="1"/>
    <undo index="12" exp="area" ref3D="1" dr="$A$594:$XFD$595" dn="Z_9A752CC5_36AC_48BE_BF4B_1A38C4015906_.wvu.Rows" sId="1"/>
    <undo index="10" exp="area" ref3D="1" dr="$A$557:$XFD$560" dn="Z_9A752CC5_36AC_48BE_BF4B_1A38C4015906_.wvu.Rows" sId="1"/>
    <undo index="8" exp="area" ref3D="1" dr="$A$543:$XFD$546" dn="Z_9A752CC5_36AC_48BE_BF4B_1A38C4015906_.wvu.Rows" sId="1"/>
    <undo index="6" exp="area" ref3D="1" dr="$A$356:$XFD$358" dn="Z_9A752CC5_36AC_48BE_BF4B_1A38C4015906_.wvu.Rows" sId="1"/>
    <undo index="4" exp="area" ref3D="1" dr="$A$335:$XFD$338" dn="Z_9A752CC5_36AC_48BE_BF4B_1A38C4015906_.wvu.Rows" sId="1"/>
    <undo index="2" exp="area" ref3D="1" dr="$A$163:$XFD$166" dn="Z_9A752CC5_36AC_48BE_BF4B_1A38C4015906_.wvu.Rows" sId="1"/>
  </rrc>
  <rrc rId="4866" sId="1" ref="A83:XFD83" action="insertRow">
    <undo index="0" exp="area" ref3D="1" dr="$A$308:$XFD$316" dn="Z_30E81E54_DD45_4653_9DCD_548F6723F554_.wvu.Rows" sId="1"/>
    <undo index="16" exp="area" ref3D="1" dr="$A$863:$XFD$866" dn="Z_9A752CC5_36AC_48BE_BF4B_1A38C4015906_.wvu.Rows" sId="1"/>
    <undo index="14" exp="area" ref3D="1" dr="$A$817:$XFD$820" dn="Z_9A752CC5_36AC_48BE_BF4B_1A38C4015906_.wvu.Rows" sId="1"/>
    <undo index="12" exp="area" ref3D="1" dr="$A$595:$XFD$596" dn="Z_9A752CC5_36AC_48BE_BF4B_1A38C4015906_.wvu.Rows" sId="1"/>
    <undo index="10" exp="area" ref3D="1" dr="$A$558:$XFD$561" dn="Z_9A752CC5_36AC_48BE_BF4B_1A38C4015906_.wvu.Rows" sId="1"/>
    <undo index="8" exp="area" ref3D="1" dr="$A$544:$XFD$547" dn="Z_9A752CC5_36AC_48BE_BF4B_1A38C4015906_.wvu.Rows" sId="1"/>
    <undo index="6" exp="area" ref3D="1" dr="$A$357:$XFD$359" dn="Z_9A752CC5_36AC_48BE_BF4B_1A38C4015906_.wvu.Rows" sId="1"/>
    <undo index="4" exp="area" ref3D="1" dr="$A$336:$XFD$339" dn="Z_9A752CC5_36AC_48BE_BF4B_1A38C4015906_.wvu.Rows" sId="1"/>
    <undo index="2" exp="area" ref3D="1" dr="$A$164:$XFD$167" dn="Z_9A752CC5_36AC_48BE_BF4B_1A38C4015906_.wvu.Rows" sId="1"/>
  </rrc>
  <rrc rId="4867" sId="1" ref="A84:XFD84" action="insertRow">
    <undo index="0" exp="area" ref3D="1" dr="$A$309:$XFD$317" dn="Z_30E81E54_DD45_4653_9DCD_548F6723F554_.wvu.Rows" sId="1"/>
    <undo index="16" exp="area" ref3D="1" dr="$A$864:$XFD$867" dn="Z_9A752CC5_36AC_48BE_BF4B_1A38C4015906_.wvu.Rows" sId="1"/>
    <undo index="14" exp="area" ref3D="1" dr="$A$818:$XFD$821" dn="Z_9A752CC5_36AC_48BE_BF4B_1A38C4015906_.wvu.Rows" sId="1"/>
    <undo index="12" exp="area" ref3D="1" dr="$A$596:$XFD$597" dn="Z_9A752CC5_36AC_48BE_BF4B_1A38C4015906_.wvu.Rows" sId="1"/>
    <undo index="10" exp="area" ref3D="1" dr="$A$559:$XFD$562" dn="Z_9A752CC5_36AC_48BE_BF4B_1A38C4015906_.wvu.Rows" sId="1"/>
    <undo index="8" exp="area" ref3D="1" dr="$A$545:$XFD$548" dn="Z_9A752CC5_36AC_48BE_BF4B_1A38C4015906_.wvu.Rows" sId="1"/>
    <undo index="6" exp="area" ref3D="1" dr="$A$358:$XFD$360" dn="Z_9A752CC5_36AC_48BE_BF4B_1A38C4015906_.wvu.Rows" sId="1"/>
    <undo index="4" exp="area" ref3D="1" dr="$A$337:$XFD$340" dn="Z_9A752CC5_36AC_48BE_BF4B_1A38C4015906_.wvu.Rows" sId="1"/>
    <undo index="2" exp="area" ref3D="1" dr="$A$165:$XFD$168" dn="Z_9A752CC5_36AC_48BE_BF4B_1A38C4015906_.wvu.Rows" sId="1"/>
  </rrc>
  <rcc rId="4868" sId="1">
    <nc r="C86">
      <v>243</v>
    </nc>
  </rcc>
  <rcc rId="4869" sId="1">
    <nc r="C85">
      <v>240</v>
    </nc>
  </rcc>
  <rcc rId="4870" sId="1">
    <nc r="C84">
      <v>200</v>
    </nc>
  </rcc>
  <rcc rId="4871" sId="1">
    <nc r="B83" t="inlineStr">
      <is>
        <t>03 2 00 R7502</t>
      </is>
    </nc>
  </rcc>
  <rcc rId="4872" sId="1">
    <nc r="B84" t="inlineStr">
      <is>
        <t>03 2 00 R7502</t>
      </is>
    </nc>
  </rcc>
  <rcc rId="4873" sId="1">
    <nc r="B85" t="inlineStr">
      <is>
        <t>03 2 00 R7502</t>
      </is>
    </nc>
  </rcc>
  <rcc rId="4874" sId="1">
    <nc r="B86" t="inlineStr">
      <is>
        <t>03 2 00 R7502</t>
      </is>
    </nc>
  </rcc>
  <rcc rId="4875" sId="1">
    <nc r="D85">
      <f>D86</f>
    </nc>
  </rcc>
  <rcc rId="4876" sId="1">
    <nc r="E85">
      <f>E86</f>
    </nc>
  </rcc>
  <rcc rId="4877" sId="1">
    <nc r="F85">
      <f>F86</f>
    </nc>
  </rcc>
  <rcc rId="4878" sId="1">
    <nc r="D84">
      <f>D85</f>
    </nc>
  </rcc>
  <rcc rId="4879" sId="1">
    <nc r="E84">
      <f>E85</f>
    </nc>
  </rcc>
  <rcc rId="4880" sId="1">
    <nc r="F84">
      <f>F85</f>
    </nc>
  </rcc>
  <rcc rId="4881" sId="1">
    <nc r="D83">
      <f>D84</f>
    </nc>
  </rcc>
  <rcc rId="4882" sId="1">
    <nc r="E83">
      <f>E84</f>
    </nc>
  </rcc>
  <rcc rId="4883" sId="1">
    <nc r="F83">
      <f>F84</f>
    </nc>
  </rcc>
  <rfmt sheetId="1" sqref="A83:XFD86">
    <dxf>
      <fill>
        <patternFill patternType="solid">
          <bgColor rgb="FFFFFF00"/>
        </patternFill>
      </fill>
    </dxf>
  </rfmt>
  <rcc rId="4884" sId="1" odxf="1" dxf="1">
    <nc r="A86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4885" sId="1">
    <nc r="A85" t="inlineStr">
      <is>
        <t>Иные закупки товаров,работ и услуг для обеспечения государственных (муниципальных) нужд</t>
      </is>
    </nc>
  </rcc>
  <rcc rId="4886" sId="1">
    <nc r="A84" t="inlineStr">
      <is>
        <t>Закупка товаров, работ и услуг для обеспечения государственных (муниципальных) нужд</t>
      </is>
    </nc>
  </rcc>
  <rcc rId="4887" sId="1">
    <nc r="A83" t="inlineStr">
      <is>
        <t>Реализация мероприятий по модернизации школьных систем образования (иные межбюджетные трансферты бюджетам муниципальных районов, муниципальных округов и городских округов Архангельской области)</t>
      </is>
    </nc>
  </rcc>
  <rcc rId="4888" sId="1" numFmtId="34">
    <nc r="E86">
      <v>105019101.12</v>
    </nc>
  </rcc>
  <rcc rId="4889" sId="1">
    <oc r="D74">
      <f>D87+D91+D107+D112+D123+D162+D166+D170+D75+D127+D135+D148+D139+D131+D99+D119+D157+D95+D79+D103</f>
    </oc>
    <nc r="D74">
      <f>D87+D91+D107+D112+D123+D162+D166+D170+D75+D127+D135+D148+D139+D131+D99+D119+D157+D95+D79+D103+D83</f>
    </nc>
  </rcc>
  <rcc rId="4890" sId="1">
    <oc r="E74">
      <f>E87+E91+E107+E112+E123+E162+E166+E170+E75+E127+E135+E148+E139+E131+E99+E119+E157+E95+E79+E103</f>
    </oc>
    <nc r="E74">
      <f>E87+E91+E107+E112+E123+E162+E166+E170+E75+E127+E135+E148+E139+E131+E99+E119+E157+E95+E79+E103+E83</f>
    </nc>
  </rcc>
  <rcc rId="4891" sId="1">
    <oc r="F74">
      <f>F87+F91+F107+F112+F123+F162+F166+F170+F75+F127+F135+F148+F139+F131+F99+F119+F157+F95+F79+F103</f>
    </oc>
    <nc r="F74">
      <f>F87+F91+F107+F112+F123+F162+F166+F170+F75+F127+F135+F148+F139+F131+F99+F119+F157+F95+F79+F103+F83</f>
    </nc>
  </rcc>
  <rcv guid="{D9B90A86-BE39-4FED-8226-084809D277F3}" action="delete"/>
  <rdn rId="0" localSheetId="1" customView="1" name="Z_D9B90A86_BE39_4FED_8226_084809D277F3_.wvu.PrintArea" hidden="1" oldHidden="1">
    <formula>'программы '!$A$1:$F$965</formula>
    <oldFormula>'программы '!$A$1:$F$965</oldFormula>
  </rdn>
  <rdn rId="0" localSheetId="1" customView="1" name="Z_D9B90A86_BE39_4FED_8226_084809D277F3_.wvu.FilterData" hidden="1" oldHidden="1">
    <formula>'программы '!$C$1:$C$973</formula>
    <oldFormula>'программы '!$C$1:$C$973</oldFormula>
  </rdn>
  <rcv guid="{D9B90A86-BE39-4FED-8226-084809D277F3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4" sId="1" numFmtId="34">
    <oc r="D102">
      <v>7720306.2000000002</v>
    </oc>
    <nc r="D102">
      <f>7720306.2</f>
    </nc>
  </rcc>
  <rcc rId="4895" sId="1" numFmtId="34">
    <nc r="E102">
      <v>21210460.670000002</v>
    </nc>
  </rcc>
  <rfmt sheetId="1" sqref="E102">
    <dxf>
      <fill>
        <patternFill patternType="solid">
          <bgColor rgb="FFFFFF00"/>
        </patternFill>
      </fill>
    </dxf>
  </rfmt>
  <rcc rId="4896" sId="1">
    <oc r="E74">
      <f>E87+E91+E107+E112+E123+E162+E166+E170+E75+E127+E135+E148+E139+E131+E99+E119+E157+E95+E79+E103+E83</f>
    </oc>
    <nc r="E74">
      <f>E87+E91+E107+E112+E123+E162+E166+E170+E75+E127+E135+E148+E139+E131+E99+E119+E157+E95+E79+E103+E83</f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7" sId="1" numFmtId="34">
    <oc r="D743">
      <v>9233378.3000000007</v>
    </oc>
    <nc r="D743">
      <f>9233378.3+5960960.09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>
  <rcc rId="4620" sId="1" numFmtId="34">
    <oc r="D73">
      <v>927855</v>
    </oc>
    <nc r="D73">
      <f>927855+15800</f>
    </nc>
  </rcc>
  <rcc rId="4621" sId="1" numFmtId="34">
    <oc r="D126">
      <v>1057252</v>
    </oc>
    <nc r="D126">
      <f>1057252-15800</f>
    </nc>
  </rcc>
  <rcv guid="{9A752CC5-36AC-48BE-BF4B-1A38C4015906}" action="delete"/>
  <rdn rId="0" localSheetId="1" customView="1" name="Z_9A752CC5_36AC_48BE_BF4B_1A38C4015906_.wvu.PrintArea" hidden="1" oldHidden="1">
    <formula>'программы '!$A$1:$F$937</formula>
    <oldFormula>'программы '!$A$1:$F$937</oldFormula>
  </rdn>
  <rdn rId="0" localSheetId="1" customView="1" name="Z_9A752CC5_36AC_48BE_BF4B_1A38C4015906_.wvu.Rows" hidden="1" oldHidden="1">
    <formula>'программы '!$75:$78,'программы '!$162:$165,'программы '!$327:$330,'программы '!$348:$350,'программы '!$528:$531,'программы '!$542:$545,'программы '!$579:$580,'программы '!$794:$797,'программы '!$840:$843</formula>
    <oldFormula>'программы '!$75:$78,'программы '!$162:$165,'программы '!$327:$330,'программы '!$348:$350,'программы '!$528:$531,'программы '!$542:$545,'программы '!$579:$580,'программы '!$794:$797,'программы '!$840:$843</oldFormula>
  </rdn>
  <rdn rId="0" localSheetId="1" customView="1" name="Z_9A752CC5_36AC_48BE_BF4B_1A38C4015906_.wvu.FilterData" hidden="1" oldHidden="1">
    <formula>'программы '!$C$1:$C$945</formula>
    <oldFormula>'программы '!$C$1:$C$945</oldFormula>
  </rdn>
  <rcv guid="{9A752CC5-36AC-48BE-BF4B-1A38C4015906}" action="add"/>
</revisions>
</file>

<file path=xl/revisions/revisionLog14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E81E54-DD45-4653-9DCD-548F6723F554}" action="delete"/>
  <rdn rId="0" localSheetId="1" customView="1" name="Z_30E81E54_DD45_4653_9DCD_548F6723F554_.wvu.PrintArea" hidden="1" oldHidden="1">
    <formula>'программы '!$A$1:$F$757</formula>
    <oldFormula>'программы '!$A$1:$F$757</oldFormula>
  </rdn>
  <rdn rId="0" localSheetId="1" customView="1" name="Z_30E81E54_DD45_4653_9DCD_548F6723F554_.wvu.Rows" hidden="1" oldHidden="1">
    <formula>'программы '!$235:$239</formula>
    <oldFormula>'программы '!$235:$239</oldFormula>
  </rdn>
  <rdn rId="0" localSheetId="1" customView="1" name="Z_30E81E54_DD45_4653_9DCD_548F6723F554_.wvu.FilterData" hidden="1" oldHidden="1">
    <formula>'программы '!$A$1:$A$770</formula>
    <oldFormula>'программы '!$A$1:$A$770</oldFormula>
  </rdn>
  <rcv guid="{30E81E54-DD45-4653-9DCD-548F6723F554}" action="add"/>
</revisions>
</file>

<file path=xl/revisions/revisionLog14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8" sId="1" numFmtId="34">
    <oc r="D744">
      <v>6126197.3700000001</v>
    </oc>
    <nc r="D744">
      <f>6126197.37-5960960.09</f>
    </nc>
  </rcc>
  <rfmt sheetId="1" sqref="D744">
    <dxf>
      <fill>
        <patternFill patternType="solid">
          <bgColor rgb="FFFFFF00"/>
        </patternFill>
      </fill>
    </dxf>
  </rfmt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9" sId="1" numFmtId="34">
    <oc r="D584">
      <v>3353991.2</v>
    </oc>
    <nc r="D584">
      <f>3353991.2-858780.68</f>
    </nc>
  </rcc>
  <rfmt sheetId="1" sqref="D584">
    <dxf>
      <fill>
        <patternFill patternType="solid">
          <bgColor rgb="FFFFFF00"/>
        </patternFill>
      </fill>
    </dxf>
  </rfmt>
  <rcc rId="4900" sId="1" numFmtId="34">
    <oc r="D593">
      <v>68448.800000000003</v>
    </oc>
    <nc r="D593">
      <f>68448.8-17513.89</f>
    </nc>
  </rcc>
  <rfmt sheetId="1" sqref="D593">
    <dxf>
      <fill>
        <patternFill patternType="solid">
          <bgColor rgb="FFFFFF00"/>
        </patternFill>
      </fill>
    </dxf>
  </rfmt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82">
    <dxf>
      <fill>
        <patternFill patternType="solid">
          <bgColor rgb="FFFFFF00"/>
        </patternFill>
      </fill>
    </dxf>
  </rfmt>
  <rfmt sheetId="1" sqref="D368">
    <dxf>
      <fill>
        <patternFill>
          <bgColor theme="0"/>
        </patternFill>
      </fill>
    </dxf>
  </rfmt>
  <rrc rId="4901" sId="1" ref="A369:XFD369" action="insertRow">
    <undo index="16" exp="area" ref3D="1" dr="$A$865:$XFD$868" dn="Z_9A752CC5_36AC_48BE_BF4B_1A38C4015906_.wvu.Rows" sId="1"/>
    <undo index="14" exp="area" ref3D="1" dr="$A$819:$XFD$822" dn="Z_9A752CC5_36AC_48BE_BF4B_1A38C4015906_.wvu.Rows" sId="1"/>
    <undo index="12" exp="area" ref3D="1" dr="$A$597:$XFD$598" dn="Z_9A752CC5_36AC_48BE_BF4B_1A38C4015906_.wvu.Rows" sId="1"/>
    <undo index="10" exp="area" ref3D="1" dr="$A$560:$XFD$563" dn="Z_9A752CC5_36AC_48BE_BF4B_1A38C4015906_.wvu.Rows" sId="1"/>
    <undo index="8" exp="area" ref3D="1" dr="$A$546:$XFD$549" dn="Z_9A752CC5_36AC_48BE_BF4B_1A38C4015906_.wvu.Rows" sId="1"/>
  </rrc>
  <rrc rId="4902" sId="1" ref="A369:XFD369" action="insertRow">
    <undo index="16" exp="area" ref3D="1" dr="$A$866:$XFD$869" dn="Z_9A752CC5_36AC_48BE_BF4B_1A38C4015906_.wvu.Rows" sId="1"/>
    <undo index="14" exp="area" ref3D="1" dr="$A$820:$XFD$823" dn="Z_9A752CC5_36AC_48BE_BF4B_1A38C4015906_.wvu.Rows" sId="1"/>
    <undo index="12" exp="area" ref3D="1" dr="$A$598:$XFD$599" dn="Z_9A752CC5_36AC_48BE_BF4B_1A38C4015906_.wvu.Rows" sId="1"/>
    <undo index="10" exp="area" ref3D="1" dr="$A$561:$XFD$564" dn="Z_9A752CC5_36AC_48BE_BF4B_1A38C4015906_.wvu.Rows" sId="1"/>
    <undo index="8" exp="area" ref3D="1" dr="$A$547:$XFD$550" dn="Z_9A752CC5_36AC_48BE_BF4B_1A38C4015906_.wvu.Rows" sId="1"/>
  </rrc>
  <rrc rId="4903" sId="1" ref="A369:XFD369" action="insertRow">
    <undo index="16" exp="area" ref3D="1" dr="$A$867:$XFD$870" dn="Z_9A752CC5_36AC_48BE_BF4B_1A38C4015906_.wvu.Rows" sId="1"/>
    <undo index="14" exp="area" ref3D="1" dr="$A$821:$XFD$824" dn="Z_9A752CC5_36AC_48BE_BF4B_1A38C4015906_.wvu.Rows" sId="1"/>
    <undo index="12" exp="area" ref3D="1" dr="$A$599:$XFD$600" dn="Z_9A752CC5_36AC_48BE_BF4B_1A38C4015906_.wvu.Rows" sId="1"/>
    <undo index="10" exp="area" ref3D="1" dr="$A$562:$XFD$565" dn="Z_9A752CC5_36AC_48BE_BF4B_1A38C4015906_.wvu.Rows" sId="1"/>
    <undo index="8" exp="area" ref3D="1" dr="$A$548:$XFD$551" dn="Z_9A752CC5_36AC_48BE_BF4B_1A38C4015906_.wvu.Rows" sId="1"/>
  </rrc>
  <rrc rId="4904" sId="1" ref="A369:XFD369" action="insertRow">
    <undo index="16" exp="area" ref3D="1" dr="$A$868:$XFD$871" dn="Z_9A752CC5_36AC_48BE_BF4B_1A38C4015906_.wvu.Rows" sId="1"/>
    <undo index="14" exp="area" ref3D="1" dr="$A$822:$XFD$825" dn="Z_9A752CC5_36AC_48BE_BF4B_1A38C4015906_.wvu.Rows" sId="1"/>
    <undo index="12" exp="area" ref3D="1" dr="$A$600:$XFD$601" dn="Z_9A752CC5_36AC_48BE_BF4B_1A38C4015906_.wvu.Rows" sId="1"/>
    <undo index="10" exp="area" ref3D="1" dr="$A$563:$XFD$566" dn="Z_9A752CC5_36AC_48BE_BF4B_1A38C4015906_.wvu.Rows" sId="1"/>
    <undo index="8" exp="area" ref3D="1" dr="$A$549:$XFD$552" dn="Z_9A752CC5_36AC_48BE_BF4B_1A38C4015906_.wvu.Rows" sId="1"/>
  </rrc>
  <rcc rId="4905" sId="1">
    <nc r="C369">
      <v>600</v>
    </nc>
  </rcc>
  <rcc rId="4906" sId="1">
    <nc r="C370">
      <v>610</v>
    </nc>
  </rcc>
  <rcc rId="4907" sId="1">
    <nc r="C371">
      <v>612</v>
    </nc>
  </rcc>
  <rrc rId="4908" sId="1" ref="A372:XFD372" action="deleteRow">
    <undo index="16" exp="area" ref3D="1" dr="$A$869:$XFD$872" dn="Z_9A752CC5_36AC_48BE_BF4B_1A38C4015906_.wvu.Rows" sId="1"/>
    <undo index="14" exp="area" ref3D="1" dr="$A$823:$XFD$826" dn="Z_9A752CC5_36AC_48BE_BF4B_1A38C4015906_.wvu.Rows" sId="1"/>
    <undo index="12" exp="area" ref3D="1" dr="$A$601:$XFD$602" dn="Z_9A752CC5_36AC_48BE_BF4B_1A38C4015906_.wvu.Rows" sId="1"/>
    <undo index="10" exp="area" ref3D="1" dr="$A$564:$XFD$567" dn="Z_9A752CC5_36AC_48BE_BF4B_1A38C4015906_.wvu.Rows" sId="1"/>
    <undo index="8" exp="area" ref3D="1" dr="$A$550:$XFD$553" dn="Z_9A752CC5_36AC_48BE_BF4B_1A38C4015906_.wvu.Rows" sId="1"/>
    <rfmt sheetId="1" xfDxf="1" sqref="A372:XFD372" start="0" length="0">
      <dxf>
        <font>
          <name val="Times New Roman"/>
          <scheme val="none"/>
        </font>
        <alignment vertical="center" readingOrder="0"/>
      </dxf>
    </rfmt>
    <rfmt sheetId="1" sqref="A372" start="0" length="0">
      <dxf>
        <alignment horizontal="justify" readingOrder="0"/>
        <border outline="0">
          <left style="thin">
            <color indexed="64"/>
          </left>
          <right style="thin">
            <color indexed="64"/>
          </right>
        </border>
      </dxf>
    </rfmt>
    <rfmt sheetId="1" sqref="B372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372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72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72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369:F371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4909" sId="1">
    <nc r="B371" t="inlineStr">
      <is>
        <t>06 2 00 S8530</t>
      </is>
    </nc>
  </rcc>
  <rcc rId="4910" sId="1">
    <nc r="B370" t="inlineStr">
      <is>
        <t>06 2 00 S8530</t>
      </is>
    </nc>
  </rcc>
  <rcc rId="4911" sId="1">
    <nc r="B369" t="inlineStr">
      <is>
        <t>06 2 00 S8530</t>
      </is>
    </nc>
  </rcc>
  <rrc rId="4912" sId="1" ref="A369:XFD369" action="deleteRow">
    <undo index="16" exp="area" ref3D="1" dr="$A$868:$XFD$871" dn="Z_9A752CC5_36AC_48BE_BF4B_1A38C4015906_.wvu.Rows" sId="1"/>
    <undo index="14" exp="area" ref3D="1" dr="$A$822:$XFD$825" dn="Z_9A752CC5_36AC_48BE_BF4B_1A38C4015906_.wvu.Rows" sId="1"/>
    <undo index="12" exp="area" ref3D="1" dr="$A$600:$XFD$601" dn="Z_9A752CC5_36AC_48BE_BF4B_1A38C4015906_.wvu.Rows" sId="1"/>
    <undo index="10" exp="area" ref3D="1" dr="$A$563:$XFD$566" dn="Z_9A752CC5_36AC_48BE_BF4B_1A38C4015906_.wvu.Rows" sId="1"/>
    <undo index="8" exp="area" ref3D="1" dr="$A$549:$XFD$552" dn="Z_9A752CC5_36AC_48BE_BF4B_1A38C4015906_.wvu.Rows" sId="1"/>
    <rfmt sheetId="1" xfDxf="1" sqref="A369:XFD369" start="0" length="0">
      <dxf>
        <font>
          <name val="Times New Roman"/>
          <scheme val="none"/>
        </font>
        <alignment vertical="center" readingOrder="0"/>
      </dxf>
    </rfmt>
    <rfmt sheetId="1" sqref="A369" start="0" length="0">
      <dxf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369" t="inlineStr">
        <is>
          <t>06 2 00 S8530</t>
        </is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>
        <v>600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369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69" start="0" length="0">
      <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69" start="0" length="0">
      <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13" sId="1" ref="A369:XFD369" action="deleteRow">
    <undo index="16" exp="area" ref3D="1" dr="$A$867:$XFD$870" dn="Z_9A752CC5_36AC_48BE_BF4B_1A38C4015906_.wvu.Rows" sId="1"/>
    <undo index="14" exp="area" ref3D="1" dr="$A$821:$XFD$824" dn="Z_9A752CC5_36AC_48BE_BF4B_1A38C4015906_.wvu.Rows" sId="1"/>
    <undo index="12" exp="area" ref3D="1" dr="$A$599:$XFD$600" dn="Z_9A752CC5_36AC_48BE_BF4B_1A38C4015906_.wvu.Rows" sId="1"/>
    <undo index="10" exp="area" ref3D="1" dr="$A$562:$XFD$565" dn="Z_9A752CC5_36AC_48BE_BF4B_1A38C4015906_.wvu.Rows" sId="1"/>
    <undo index="8" exp="area" ref3D="1" dr="$A$548:$XFD$551" dn="Z_9A752CC5_36AC_48BE_BF4B_1A38C4015906_.wvu.Rows" sId="1"/>
    <rfmt sheetId="1" xfDxf="1" sqref="A369:XFD369" start="0" length="0">
      <dxf>
        <font>
          <name val="Times New Roman"/>
          <scheme val="none"/>
        </font>
        <alignment vertical="center" readingOrder="0"/>
      </dxf>
    </rfmt>
    <rfmt sheetId="1" sqref="A369" start="0" length="0">
      <dxf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369" t="inlineStr">
        <is>
          <t>06 2 00 S8530</t>
        </is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>
        <v>610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369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69" start="0" length="0">
      <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69" start="0" length="0">
      <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14" sId="1" ref="A369:XFD369" action="deleteRow">
    <undo index="16" exp="area" ref3D="1" dr="$A$866:$XFD$869" dn="Z_9A752CC5_36AC_48BE_BF4B_1A38C4015906_.wvu.Rows" sId="1"/>
    <undo index="14" exp="area" ref3D="1" dr="$A$820:$XFD$823" dn="Z_9A752CC5_36AC_48BE_BF4B_1A38C4015906_.wvu.Rows" sId="1"/>
    <undo index="12" exp="area" ref3D="1" dr="$A$598:$XFD$599" dn="Z_9A752CC5_36AC_48BE_BF4B_1A38C4015906_.wvu.Rows" sId="1"/>
    <undo index="10" exp="area" ref3D="1" dr="$A$561:$XFD$564" dn="Z_9A752CC5_36AC_48BE_BF4B_1A38C4015906_.wvu.Rows" sId="1"/>
    <undo index="8" exp="area" ref3D="1" dr="$A$547:$XFD$550" dn="Z_9A752CC5_36AC_48BE_BF4B_1A38C4015906_.wvu.Rows" sId="1"/>
    <rfmt sheetId="1" xfDxf="1" sqref="A369:XFD369" start="0" length="0">
      <dxf>
        <font>
          <name val="Times New Roman"/>
          <scheme val="none"/>
        </font>
        <alignment vertical="center" readingOrder="0"/>
      </dxf>
    </rfmt>
    <rfmt sheetId="1" sqref="A369" start="0" length="0">
      <dxf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369" t="inlineStr">
        <is>
          <t>06 2 00 S8530</t>
        </is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>
        <v>612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369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69" start="0" length="0">
      <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69" start="0" length="0">
      <dxf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15" sId="1">
    <oc r="C368" t="inlineStr">
      <is>
        <t>244</t>
      </is>
    </oc>
    <nc r="C368">
      <v>612</v>
    </nc>
  </rcc>
  <rcc rId="4916" sId="1">
    <oc r="C367" t="inlineStr">
      <is>
        <t>240</t>
      </is>
    </oc>
    <nc r="C367">
      <v>610</v>
    </nc>
  </rcc>
  <rcc rId="4917" sId="1">
    <oc r="C366" t="inlineStr">
      <is>
        <t>200</t>
      </is>
    </oc>
    <nc r="C366">
      <v>600</v>
    </nc>
  </rcc>
  <rcc rId="4918" sId="1">
    <oc r="A368" t="inlineStr">
      <is>
        <t>Прочая закупка товаров, работ и услуг</t>
      </is>
    </oc>
    <nc r="A368" t="inlineStr">
      <is>
        <t>Субсидии бюджетным учреждениям на иные цели</t>
      </is>
    </nc>
  </rcc>
  <rcc rId="4919" sId="1" xfDxf="1" dxf="1">
    <oc r="A367" t="inlineStr">
      <is>
        <t>Иные закупки товаров, работ и услуг для обеспечения государственных (муниципальных) нужд</t>
      </is>
    </oc>
    <nc r="A367" t="inlineStr">
      <is>
        <t>Субсидии бюджетным учреждениям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920" sId="1" xfDxf="1" dxf="1">
    <oc r="A366" t="inlineStr">
      <is>
        <t>Закупка товаров, работ и услуг для обеспечения государственных (муниципальных) нужд</t>
      </is>
    </oc>
    <nc r="A366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921" sId="1">
    <oc r="D368">
      <f>44632.9-44503.69</f>
    </oc>
    <nc r="D368">
      <f>44632.9-44503.69</f>
    </nc>
  </rcc>
  <rfmt sheetId="1" sqref="D368">
    <dxf>
      <fill>
        <patternFill>
          <bgColor rgb="FFFFFF00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'!$A$1:$F$965</formula>
    <oldFormula>'программы '!$A$1:$F$965</oldFormula>
  </rdn>
  <rdn rId="0" localSheetId="1" customView="1" name="Z_D9B90A86_BE39_4FED_8226_084809D277F3_.wvu.FilterData" hidden="1" oldHidden="1">
    <formula>'программы '!$C$1:$C$973</formula>
    <oldFormula>'программы '!$C$1:$C$973</oldFormula>
  </rdn>
  <rcv guid="{D9B90A86-BE39-4FED-8226-084809D277F3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4" sId="1" numFmtId="34">
    <oc r="D628">
      <v>150000</v>
    </oc>
    <nc r="D628">
      <f>150000-35800</f>
    </nc>
  </rcc>
  <rfmt sheetId="1" sqref="D628">
    <dxf>
      <fill>
        <patternFill patternType="solid">
          <bgColor rgb="FFFFFF00"/>
        </patternFill>
      </fill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5" sId="1" numFmtId="34">
    <oc r="D632">
      <v>1069200</v>
    </oc>
    <nc r="D632">
      <f>1069200+35800</f>
    </nc>
  </rcc>
  <rfmt sheetId="1" sqref="D632">
    <dxf>
      <fill>
        <patternFill patternType="solid">
          <bgColor rgb="FFFFFF00"/>
        </patternFill>
      </fill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E81E54-DD45-4653-9DCD-548F6723F554}" action="delete"/>
  <rdn rId="0" localSheetId="1" customView="1" name="Z_30E81E54_DD45_4653_9DCD_548F6723F554_.wvu.PrintArea" hidden="1" oldHidden="1">
    <formula>'программы '!$A$1:$F$757</formula>
    <oldFormula>'программы '!$A$1:$F$757</oldFormula>
  </rdn>
  <rdn rId="0" localSheetId="1" customView="1" name="Z_30E81E54_DD45_4653_9DCD_548F6723F554_.wvu.Rows" hidden="1" oldHidden="1">
    <formula>'программы '!$235:$239</formula>
    <oldFormula>'программы '!$235:$239</oldFormula>
  </rdn>
  <rdn rId="0" localSheetId="1" customView="1" name="Z_30E81E54_DD45_4653_9DCD_548F6723F554_.wvu.FilterData" hidden="1" oldHidden="1">
    <formula>'программы '!$A$1:$A$770</formula>
    <oldFormula>'программы '!$A$1:$A$770</oldFormula>
  </rdn>
  <rcv guid="{30E81E54-DD45-4653-9DCD-548F6723F554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6" sId="1">
    <oc r="D373">
      <f>5000000+344484+87070.87+2381236.58+965247+749950</f>
    </oc>
    <nc r="D373">
      <f>5000000+344484+87070.87+2381236.58+965247+749950-4527988.45</f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7" sId="1">
    <oc r="D584">
      <f>3353991.2-858780.68</f>
    </oc>
    <nc r="D584">
      <f>3353991.2-858180.68</f>
    </nc>
  </rcc>
  <rcv guid="{D9B90A86-BE39-4FED-8226-084809D277F3}" action="delete"/>
  <rdn rId="0" localSheetId="1" customView="1" name="Z_D9B90A86_BE39_4FED_8226_084809D277F3_.wvu.PrintArea" hidden="1" oldHidden="1">
    <formula>'программы '!$A$1:$F$965</formula>
    <oldFormula>'программы '!$A$1:$F$965</oldFormula>
  </rdn>
  <rdn rId="0" localSheetId="1" customView="1" name="Z_D9B90A86_BE39_4FED_8226_084809D277F3_.wvu.FilterData" hidden="1" oldHidden="1">
    <formula>'программы '!$C$1:$C$973</formula>
    <oldFormula>'программы '!$C$1:$C$973</oldFormula>
  </rdn>
  <rcv guid="{D9B90A86-BE39-4FED-8226-084809D277F3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0" sId="1" numFmtId="34">
    <oc r="D737">
      <f>41482.04-25059</f>
    </oc>
    <nc r="D737">
      <v>16123.04</v>
    </nc>
  </rcc>
  <rcv guid="{D9B90A86-BE39-4FED-8226-084809D277F3}" action="delete"/>
  <rdn rId="0" localSheetId="1" customView="1" name="Z_D9B90A86_BE39_4FED_8226_084809D277F3_.wvu.PrintArea" hidden="1" oldHidden="1">
    <formula>'программы '!$A$1:$F$965</formula>
    <oldFormula>'программы '!$A$1:$F$965</oldFormula>
  </rdn>
  <rdn rId="0" localSheetId="1" customView="1" name="Z_D9B90A86_BE39_4FED_8226_084809D277F3_.wvu.FilterData" hidden="1" oldHidden="1">
    <formula>'программы '!$C$1:$C$973</formula>
    <oldFormula>'программы '!$C$1:$C$973</oldFormula>
  </rdn>
  <rcv guid="{D9B90A86-BE39-4FED-8226-084809D277F3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33" sId="1" ref="A725:XFD725" action="insertRow">
    <undo index="16" exp="area" ref3D="1" dr="$A$865:$XFD$868" dn="Z_9A752CC5_36AC_48BE_BF4B_1A38C4015906_.wvu.Rows" sId="1"/>
    <undo index="14" exp="area" ref3D="1" dr="$A$819:$XFD$822" dn="Z_9A752CC5_36AC_48BE_BF4B_1A38C4015906_.wvu.Rows" sId="1"/>
  </rrc>
  <rrc rId="4934" sId="1" ref="A725:XFD725" action="insertRow">
    <undo index="16" exp="area" ref3D="1" dr="$A$866:$XFD$869" dn="Z_9A752CC5_36AC_48BE_BF4B_1A38C4015906_.wvu.Rows" sId="1"/>
    <undo index="14" exp="area" ref3D="1" dr="$A$820:$XFD$823" dn="Z_9A752CC5_36AC_48BE_BF4B_1A38C4015906_.wvu.Rows" sId="1"/>
  </rrc>
  <rrc rId="4935" sId="1" ref="A725:XFD725" action="insertRow">
    <undo index="16" exp="area" ref3D="1" dr="$A$867:$XFD$870" dn="Z_9A752CC5_36AC_48BE_BF4B_1A38C4015906_.wvu.Rows" sId="1"/>
    <undo index="14" exp="area" ref3D="1" dr="$A$821:$XFD$824" dn="Z_9A752CC5_36AC_48BE_BF4B_1A38C4015906_.wvu.Rows" sId="1"/>
  </rrc>
  <rrc rId="4936" sId="1" ref="A726:XFD726" action="insertRow">
    <undo index="16" exp="area" ref3D="1" dr="$A$868:$XFD$871" dn="Z_9A752CC5_36AC_48BE_BF4B_1A38C4015906_.wvu.Rows" sId="1"/>
    <undo index="14" exp="area" ref3D="1" dr="$A$822:$XFD$825" dn="Z_9A752CC5_36AC_48BE_BF4B_1A38C4015906_.wvu.Rows" sId="1"/>
  </rrc>
  <rcc rId="4937" sId="1">
    <nc r="C728">
      <v>129</v>
    </nc>
  </rcc>
  <rcc rId="4938" sId="1">
    <nc r="C727">
      <v>122</v>
    </nc>
  </rcc>
  <rcc rId="4939" sId="1">
    <nc r="C726">
      <v>100</v>
    </nc>
  </rcc>
  <rcc rId="4940" sId="1" xfDxf="1" dxf="1">
    <nc r="A725" t="inlineStr">
      <is>
    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941" sId="1">
    <nc r="A72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4942" sId="1">
    <nc r="A727" t="inlineStr">
      <is>
        <t>Иные выплаты персоналу государственных (муниципальных) органов, за исключением фонда оплаты труда</t>
      </is>
    </nc>
  </rcc>
  <rcc rId="4943" sId="1">
    <nc r="A72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944" sId="1">
    <nc r="D726">
      <f>D727+D728</f>
    </nc>
  </rcc>
  <rcc rId="4945" sId="1">
    <nc r="E726">
      <f>E727+E728</f>
    </nc>
  </rcc>
  <rcc rId="4946" sId="1">
    <nc r="F726">
      <f>F727+F728</f>
    </nc>
  </rcc>
  <rcc rId="4947" sId="1">
    <nc r="D725">
      <f>D726</f>
    </nc>
  </rcc>
  <rcc rId="4948" sId="1">
    <nc r="E725">
      <f>E726</f>
    </nc>
  </rcc>
  <rcc rId="4949" sId="1">
    <nc r="F725">
      <f>F726</f>
    </nc>
  </rcc>
  <rcc rId="4950" sId="1">
    <nc r="B725" t="inlineStr">
      <is>
        <t>54 1 00 Э4790</t>
      </is>
    </nc>
  </rcc>
  <rcc rId="4951" sId="1">
    <nc r="B726" t="inlineStr">
      <is>
        <t>54 1 00 Э4790</t>
      </is>
    </nc>
  </rcc>
  <rcc rId="4952" sId="1">
    <nc r="B727" t="inlineStr">
      <is>
        <t>54 1 00 Э4790</t>
      </is>
    </nc>
  </rcc>
  <rcc rId="4953" sId="1">
    <nc r="B728" t="inlineStr">
      <is>
        <t>54 1 00 Э4790</t>
      </is>
    </nc>
  </rcc>
  <rcc rId="4954" sId="1" numFmtId="34">
    <nc r="D728">
      <v>173564.71</v>
    </nc>
  </rcc>
  <rcc rId="4955" sId="1" numFmtId="34">
    <nc r="D727">
      <v>574717.56999999995</v>
    </nc>
  </rcc>
  <rcv guid="{D9B90A86-BE39-4FED-8226-084809D277F3}" action="delete"/>
  <rdn rId="0" localSheetId="1" customView="1" name="Z_D9B90A86_BE39_4FED_8226_084809D277F3_.wvu.PrintArea" hidden="1" oldHidden="1">
    <formula>'программы '!$A$1:$F$969</formula>
    <oldFormula>'программы '!$A$1:$F$969</oldFormula>
  </rdn>
  <rdn rId="0" localSheetId="1" customView="1" name="Z_D9B90A86_BE39_4FED_8226_084809D277F3_.wvu.FilterData" hidden="1" oldHidden="1">
    <formula>'программы '!$C$1:$C$977</formula>
    <oldFormula>'программы '!$C$1:$C$977</oldFormula>
  </rdn>
  <rcv guid="{D9B90A86-BE39-4FED-8226-084809D277F3}" action="add"/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8" sId="1">
    <oc r="D693">
      <f>D729+D706+D694+D698+D702</f>
    </oc>
    <nc r="D693">
      <f>D729+D706+D694+D698+D702+D725</f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9" sId="1">
    <oc r="D754">
      <f>472574+104520</f>
    </oc>
    <nc r="D754">
      <f>472574+104250</f>
    </nc>
  </rcc>
  <rcv guid="{D9B90A86-BE39-4FED-8226-084809D277F3}" action="delete"/>
  <rdn rId="0" localSheetId="1" customView="1" name="Z_D9B90A86_BE39_4FED_8226_084809D277F3_.wvu.PrintArea" hidden="1" oldHidden="1">
    <formula>'программы '!$A$1:$F$969</formula>
    <oldFormula>'программы '!$A$1:$F$969</oldFormula>
  </rdn>
  <rdn rId="0" localSheetId="1" customView="1" name="Z_D9B90A86_BE39_4FED_8226_084809D277F3_.wvu.FilterData" hidden="1" oldHidden="1">
    <formula>'программы '!$C$1:$C$977</formula>
    <oldFormula>'программы '!$C$1:$C$977</oldFormula>
  </rdn>
  <rcv guid="{D9B90A86-BE39-4FED-8226-084809D277F3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2" sId="1">
    <oc r="D865">
      <f>358553.82+25059</f>
    </oc>
    <nc r="D865">
      <f>383912.82</f>
    </nc>
  </rcc>
  <rcv guid="{D9B90A86-BE39-4FED-8226-084809D277F3}" action="delete"/>
  <rdn rId="0" localSheetId="1" customView="1" name="Z_D9B90A86_BE39_4FED_8226_084809D277F3_.wvu.PrintArea" hidden="1" oldHidden="1">
    <formula>'программы '!$A$1:$F$969</formula>
    <oldFormula>'программы '!$A$1:$F$969</oldFormula>
  </rdn>
  <rdn rId="0" localSheetId="1" customView="1" name="Z_D9B90A86_BE39_4FED_8226_084809D277F3_.wvu.FilterData" hidden="1" oldHidden="1">
    <formula>'программы '!$C$1:$C$977</formula>
    <oldFormula>'программы '!$C$1:$C$977</oldFormula>
  </rdn>
  <rcv guid="{D9B90A86-BE39-4FED-8226-084809D277F3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5" sId="1" numFmtId="34">
    <oc r="D68">
      <v>101767672.76000001</v>
    </oc>
    <nc r="D68">
      <f>101767672.76+3329131.58</f>
    </nc>
  </rcc>
  <rcc rId="4966" sId="1">
    <oc r="D73">
      <f>927855+15800</f>
    </oc>
    <nc r="D73">
      <f>927855+15800+216197</f>
    </nc>
  </rcc>
  <rfmt sheetId="1" sqref="D73">
    <dxf>
      <fill>
        <patternFill patternType="solid">
          <bgColor rgb="FFFFFF00"/>
        </patternFill>
      </fill>
    </dxf>
  </rfmt>
  <rfmt sheetId="1" sqref="D68">
    <dxf>
      <fill>
        <patternFill patternType="solid">
          <bgColor rgb="FFFFFF00"/>
        </patternFill>
      </fill>
    </dxf>
  </rfmt>
  <rcc rId="4967" sId="1" numFmtId="34">
    <oc r="D110">
      <v>209537488.25</v>
    </oc>
    <nc r="D110">
      <f>209537488.25+7493762.17</f>
    </nc>
  </rcc>
  <rfmt sheetId="1" sqref="D110">
    <dxf>
      <fill>
        <patternFill patternType="solid">
          <bgColor rgb="FFFFFF00"/>
        </patternFill>
      </fill>
    </dxf>
  </rfmt>
  <rcc rId="4968" sId="1">
    <oc r="D118">
      <f>3387420+538300</f>
    </oc>
    <nc r="D118">
      <f>3387420+538300+1056919.25</f>
    </nc>
  </rcc>
  <rfmt sheetId="1" sqref="D118">
    <dxf>
      <fill>
        <patternFill patternType="solid">
          <bgColor rgb="FFFFFF00"/>
        </patternFill>
      </fill>
    </dxf>
  </rfmt>
  <rcc rId="4969" sId="1">
    <oc r="D130">
      <f>1057252-15800</f>
    </oc>
    <nc r="D130">
      <f>1057252-15800-1041452</f>
    </nc>
  </rcc>
  <rfmt sheetId="1" sqref="D130">
    <dxf>
      <fill>
        <patternFill patternType="solid">
          <bgColor rgb="FFFFFF00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'!$A$1:$F$969</formula>
    <oldFormula>'программы '!$A$1:$F$969</oldFormula>
  </rdn>
  <rdn rId="0" localSheetId="1" customView="1" name="Z_D9B90A86_BE39_4FED_8226_084809D277F3_.wvu.FilterData" hidden="1" oldHidden="1">
    <formula>'программы '!$C$1:$C$977</formula>
    <oldFormula>'программы '!$C$1:$C$977</oldFormula>
  </rdn>
  <rcv guid="{D9B90A86-BE39-4FED-8226-084809D277F3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72" sId="1" ref="A941:XFD941" action="insertRow"/>
  <rrc rId="4973" sId="1" ref="A941:XFD941" action="insertRow"/>
  <rrc rId="4974" sId="1" ref="A941:XFD941" action="insertRow"/>
  <rrc rId="4975" sId="1" ref="A941:XFD941" action="insertRow"/>
  <rcc rId="4976" sId="1">
    <nc r="A941" t="inlineStr">
      <is>
        <t>Развитие инициативных проектов в рамках регионального проекта "Комфортное Поморье"ого бюджета)</t>
      </is>
    </nc>
  </rcc>
  <rcc rId="4977" sId="1">
    <nc r="A942" t="inlineStr">
      <is>
        <t>Предоставление субсидий бюджетным, автономным учреждениям и иным некоммерческим организациям</t>
      </is>
    </nc>
  </rcc>
  <rcc rId="4978" sId="1">
    <nc r="A943" t="inlineStr">
      <is>
        <t>Субсидии бюджетным учреждениям</t>
      </is>
    </nc>
  </rcc>
  <rcc rId="4979" sId="1">
    <nc r="A944" t="inlineStr">
      <is>
        <t>Субсидии бюджетным учреждениям на иные цели</t>
      </is>
    </nc>
  </rcc>
  <rcc rId="4980" sId="1">
    <nc r="B941" t="inlineStr">
      <is>
        <t>67 0 00 Э8890</t>
      </is>
    </nc>
  </rcc>
  <rcc rId="4981" sId="1">
    <nc r="B942" t="inlineStr">
      <is>
        <t>67 0 00 Э8890</t>
      </is>
    </nc>
  </rcc>
  <rcc rId="4982" sId="1">
    <nc r="B943" t="inlineStr">
      <is>
        <t>67 0 00 Э8890</t>
      </is>
    </nc>
  </rcc>
  <rcc rId="4983" sId="1">
    <nc r="B944" t="inlineStr">
      <is>
        <t>67 0 00 Э8890</t>
      </is>
    </nc>
  </rcc>
  <rcc rId="4984" sId="1">
    <nc r="C944">
      <v>612</v>
    </nc>
  </rcc>
  <rcc rId="4985" sId="1">
    <nc r="C943">
      <v>610</v>
    </nc>
  </rcc>
  <rcc rId="4986" sId="1">
    <nc r="C942">
      <v>600</v>
    </nc>
  </rcc>
  <rfmt sheetId="1" sqref="A941:F944" start="0" length="2147483647">
    <dxf>
      <font>
        <b val="0"/>
      </font>
    </dxf>
  </rfmt>
  <rfmt sheetId="1" sqref="A941:F944" start="0" length="2147483647">
    <dxf>
      <font>
        <i val="0"/>
      </font>
    </dxf>
  </rfmt>
  <rcc rId="4987" sId="1">
    <nc r="D943">
      <f>D944</f>
    </nc>
  </rcc>
  <rcc rId="4988" sId="1">
    <nc r="E943">
      <f>E944</f>
    </nc>
  </rcc>
  <rcc rId="4989" sId="1">
    <nc r="F943">
      <f>F944</f>
    </nc>
  </rcc>
  <rcc rId="4990" sId="1">
    <nc r="D942">
      <f>D943</f>
    </nc>
  </rcc>
  <rcc rId="4991" sId="1">
    <nc r="E942">
      <f>E943</f>
    </nc>
  </rcc>
  <rcc rId="4992" sId="1">
    <nc r="F942">
      <f>F943</f>
    </nc>
  </rcc>
  <rcc rId="4993" sId="1">
    <nc r="D941">
      <f>D942</f>
    </nc>
  </rcc>
  <rcc rId="4994" sId="1">
    <nc r="E941">
      <f>E942</f>
    </nc>
  </rcc>
  <rcc rId="4995" sId="1">
    <nc r="F941">
      <f>F942</f>
    </nc>
  </rcc>
  <rcc rId="4996" sId="1">
    <oc r="D940">
      <f>D945+D955</f>
    </oc>
    <nc r="D940">
      <f>D945+D955+D941</f>
    </nc>
  </rcc>
  <rcc rId="4997" sId="1">
    <oc r="E940">
      <f>E945+E955</f>
    </oc>
    <nc r="E940">
      <f>E945+E955+E941</f>
    </nc>
  </rcc>
  <rcc rId="4998" sId="1">
    <oc r="F940">
      <f>F945+F955</f>
    </oc>
    <nc r="F940">
      <f>F945+F955+F941</f>
    </nc>
  </rcc>
  <rcv guid="{D9B90A86-BE39-4FED-8226-084809D277F3}" action="delete"/>
  <rdn rId="0" localSheetId="1" customView="1" name="Z_D9B90A86_BE39_4FED_8226_084809D277F3_.wvu.PrintArea" hidden="1" oldHidden="1">
    <formula>'программы '!$A$1:$F$973</formula>
    <oldFormula>'программы '!$A$1:$F$973</oldFormula>
  </rdn>
  <rdn rId="0" localSheetId="1" customView="1" name="Z_D9B90A86_BE39_4FED_8226_084809D277F3_.wvu.FilterData" hidden="1" oldHidden="1">
    <formula>'программы '!$C$1:$C$981</formula>
    <oldFormula>'программы '!$C$1:$C$981</oldFormula>
  </rdn>
  <rcv guid="{D9B90A86-BE39-4FED-8226-084809D277F3}" action="add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941:XFD944">
    <dxf>
      <fill>
        <patternFill patternType="solid">
          <bgColor rgb="FFFFFF00"/>
        </patternFill>
      </fill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E81E54-DD45-4653-9DCD-548F6723F554}" action="delete"/>
  <rdn rId="0" localSheetId="1" customView="1" name="Z_30E81E54_DD45_4653_9DCD_548F6723F554_.wvu.PrintArea" hidden="1" oldHidden="1">
    <formula>'программы '!$A$1:$F$757</formula>
    <oldFormula>'программы '!$A$1:$F$757</oldFormula>
  </rdn>
  <rdn rId="0" localSheetId="1" customView="1" name="Z_30E81E54_DD45_4653_9DCD_548F6723F554_.wvu.Rows" hidden="1" oldHidden="1">
    <formula>'программы '!$235:$239</formula>
    <oldFormula>'программы '!$235:$239</oldFormula>
  </rdn>
  <rdn rId="0" localSheetId="1" customView="1" name="Z_30E81E54_DD45_4653_9DCD_548F6723F554_.wvu.FilterData" hidden="1" oldHidden="1">
    <formula>'программы '!$A$1:$A$770</formula>
    <oldFormula>'программы '!$A$1:$A$770</oldFormula>
  </rdn>
  <rcv guid="{30E81E54-DD45-4653-9DCD-548F6723F554}" action="add"/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1" sId="1" numFmtId="34">
    <nc r="D944">
      <v>1114839.8999999999</v>
    </nc>
  </rcc>
  <rcc rId="5002" sId="1">
    <oc r="D952">
      <v>1176775.45</v>
    </oc>
    <nc r="D952">
      <f>1176775.45-1114839.9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952">
    <dxf>
      <fill>
        <patternFill patternType="solid">
          <bgColor rgb="FFFFFF00"/>
        </patternFill>
      </fill>
    </dxf>
  </rfmt>
  <rcc rId="5003" sId="1" numFmtId="34">
    <oc r="D230">
      <v>112200</v>
    </oc>
    <nc r="D230">
      <f>112200-20117.3</f>
    </nc>
  </rcc>
  <rfmt sheetId="1" sqref="D230">
    <dxf>
      <fill>
        <patternFill patternType="solid">
          <bgColor rgb="FFFFFF00"/>
        </patternFill>
      </fill>
    </dxf>
  </rfmt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4" sId="1" numFmtId="34">
    <oc r="D233">
      <v>173500</v>
    </oc>
    <nc r="D233">
      <f>173500+20117.3</f>
    </nc>
  </rcc>
  <rfmt sheetId="1" sqref="D233">
    <dxf>
      <fill>
        <patternFill patternType="solid">
          <bgColor rgb="FFFFFF00"/>
        </patternFill>
      </fill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5" sId="1" numFmtId="34">
    <oc r="D331">
      <v>1552000</v>
    </oc>
    <nc r="D331">
      <f>1552000-52000</f>
    </nc>
  </rcc>
  <rfmt sheetId="1" sqref="D331">
    <dxf>
      <fill>
        <patternFill patternType="solid">
          <bgColor rgb="FFFFFF00"/>
        </patternFill>
      </fill>
    </dxf>
  </rfmt>
  <rcc rId="5006" sId="1" numFmtId="34">
    <oc r="D451">
      <v>57584208.140000001</v>
    </oc>
    <nc r="D451">
      <f>57584208.14+2000000</f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451">
    <dxf>
      <fill>
        <patternFill patternType="solid">
          <bgColor rgb="FFFFFF00"/>
        </patternFill>
      </fill>
    </dxf>
  </rfmt>
  <rcc rId="5007" sId="1" numFmtId="34">
    <oc r="D737">
      <v>8457235.4700000007</v>
    </oc>
    <nc r="D737">
      <f>8457235.47+452891.15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8" sId="1" numFmtId="34">
    <oc r="D909">
      <v>10934655.529999999</v>
    </oc>
    <nc r="D909">
      <f>10934655.53+295698.92</f>
    </nc>
  </rcc>
  <rfmt sheetId="1" sqref="D909">
    <dxf>
      <fill>
        <patternFill patternType="solid">
          <bgColor rgb="FFFFFF00"/>
        </patternFill>
      </fill>
    </dxf>
  </rfmt>
  <rcc rId="5009" sId="1" numFmtId="34">
    <oc r="D911">
      <v>3302265.97</v>
    </oc>
    <nc r="D911">
      <f>3302265.97+89301.08</f>
    </nc>
  </rcc>
  <rfmt sheetId="1" sqref="D911">
    <dxf>
      <fill>
        <patternFill patternType="solid">
          <bgColor rgb="FFFFFF00"/>
        </patternFill>
      </fill>
    </dxf>
  </rfmt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0" sId="1" numFmtId="34">
    <oc r="D916">
      <v>19945958.699999999</v>
    </oc>
    <nc r="D916">
      <f>19945958.7-13819049.83</f>
    </nc>
  </rcc>
  <rfmt sheetId="1" sqref="D916">
    <dxf>
      <fill>
        <patternFill patternType="solid">
          <bgColor rgb="FFFFFF00"/>
        </patternFill>
      </fill>
    </dxf>
  </rfmt>
  <rcc rId="5011" sId="1">
    <oc r="D797">
      <f>2883700+70000</f>
    </oc>
    <nc r="D797">
      <f>2883700+70000-2111604.31</f>
    </nc>
  </rcc>
  <rfmt sheetId="1" sqref="D797">
    <dxf>
      <fill>
        <patternFill patternType="solid">
          <bgColor rgb="FFFFFF00"/>
        </patternFill>
      </fill>
    </dxf>
  </rfmt>
  <rcc rId="5012" sId="1">
    <oc r="D271">
      <f>4772643.2+40062</f>
    </oc>
    <nc r="D271">
      <f>4772643.2+40062+226164.2+100000</f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13" sId="1" ref="A942:XFD942" action="insertRow"/>
  <rrc rId="5014" sId="1" ref="A942:XFD942" action="insertRow"/>
  <rrc rId="5015" sId="1" ref="A942:XFD942" action="insertRow"/>
  <rcc rId="5016" sId="1">
    <nc r="C942">
      <v>200</v>
    </nc>
  </rcc>
  <rcc rId="5017" sId="1">
    <nc r="C943">
      <v>240</v>
    </nc>
  </rcc>
  <rcc rId="5018" sId="1">
    <nc r="C944">
      <v>244</v>
    </nc>
  </rcc>
  <rcc rId="5019" sId="1" xfDxf="1" dxf="1">
    <nc r="A944" t="inlineStr">
      <is>
        <t>Прочая закупка товаров, работ и услуг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0" sId="1">
    <nc r="A943" t="inlineStr">
      <is>
        <t>Иные закупки товаров,работ и услуг для обеспечения государственных (муниципальных) нужд</t>
      </is>
    </nc>
  </rcc>
  <rcc rId="5021" sId="1">
    <nc r="A942" t="inlineStr">
      <is>
        <t>Закупка товаров, работ и услуг для обеспечения государственных (муниципальных) нужд</t>
      </is>
    </nc>
  </rcc>
  <rcc rId="5022" sId="1" xfDxf="1" dxf="1">
    <nc r="B944" t="inlineStr">
      <is>
        <t>67 0 00 Э8890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3" sId="1" xfDxf="1" dxf="1">
    <nc r="B943" t="inlineStr">
      <is>
        <t>67 0 00 Э8890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4" sId="1" xfDxf="1" dxf="1">
    <nc r="B942" t="inlineStr">
      <is>
        <t>67 0 00 Э8890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5" sId="1">
    <oc r="D941">
      <f>D945</f>
    </oc>
    <nc r="D941">
      <f>D945+D942</f>
    </nc>
  </rcc>
  <rcc rId="5026" sId="1">
    <oc r="E941">
      <f>E945</f>
    </oc>
    <nc r="E941">
      <f>E945+E942</f>
    </nc>
  </rcc>
  <rcc rId="5027" sId="1">
    <oc r="F941">
      <f>F945</f>
    </oc>
    <nc r="F941">
      <f>F945+F942</f>
    </nc>
  </rcc>
  <rcc rId="5028" sId="1">
    <nc r="D943">
      <f>D944</f>
    </nc>
  </rcc>
  <rcc rId="5029" sId="1">
    <nc r="E943">
      <f>E944</f>
    </nc>
  </rcc>
  <rcc rId="5030" sId="1">
    <nc r="F943">
      <f>F944</f>
    </nc>
  </rcc>
  <rcc rId="5031" sId="1">
    <nc r="D942">
      <f>D943</f>
    </nc>
  </rcc>
  <rcc rId="5032" sId="1">
    <nc r="E942">
      <f>E943</f>
    </nc>
  </rcc>
  <rcc rId="5033" sId="1">
    <nc r="F942">
      <f>F943</f>
    </nc>
  </rcc>
  <rcc rId="5034" sId="1" numFmtId="34">
    <nc r="D944">
      <v>1147500</v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35" sId="1" ref="A343:XFD343" action="insertRow">
    <undo index="16" exp="area" ref3D="1" dr="$A$869:$XFD$872" dn="Z_9A752CC5_36AC_48BE_BF4B_1A38C4015906_.wvu.Rows" sId="1"/>
    <undo index="14" exp="area" ref3D="1" dr="$A$823:$XFD$826" dn="Z_9A752CC5_36AC_48BE_BF4B_1A38C4015906_.wvu.Rows" sId="1"/>
    <undo index="12" exp="area" ref3D="1" dr="$A$597:$XFD$598" dn="Z_9A752CC5_36AC_48BE_BF4B_1A38C4015906_.wvu.Rows" sId="1"/>
    <undo index="10" exp="area" ref3D="1" dr="$A$560:$XFD$563" dn="Z_9A752CC5_36AC_48BE_BF4B_1A38C4015906_.wvu.Rows" sId="1"/>
    <undo index="8" exp="area" ref3D="1" dr="$A$546:$XFD$549" dn="Z_9A752CC5_36AC_48BE_BF4B_1A38C4015906_.wvu.Rows" sId="1"/>
    <undo index="6" exp="area" ref3D="1" dr="$A$359:$XFD$361" dn="Z_9A752CC5_36AC_48BE_BF4B_1A38C4015906_.wvu.Rows" sId="1"/>
  </rrc>
  <rrc rId="5036" sId="1" ref="A343:XFD343" action="insertRow">
    <undo index="16" exp="area" ref3D="1" dr="$A$870:$XFD$873" dn="Z_9A752CC5_36AC_48BE_BF4B_1A38C4015906_.wvu.Rows" sId="1"/>
    <undo index="14" exp="area" ref3D="1" dr="$A$824:$XFD$827" dn="Z_9A752CC5_36AC_48BE_BF4B_1A38C4015906_.wvu.Rows" sId="1"/>
    <undo index="12" exp="area" ref3D="1" dr="$A$598:$XFD$599" dn="Z_9A752CC5_36AC_48BE_BF4B_1A38C4015906_.wvu.Rows" sId="1"/>
    <undo index="10" exp="area" ref3D="1" dr="$A$561:$XFD$564" dn="Z_9A752CC5_36AC_48BE_BF4B_1A38C4015906_.wvu.Rows" sId="1"/>
    <undo index="8" exp="area" ref3D="1" dr="$A$547:$XFD$550" dn="Z_9A752CC5_36AC_48BE_BF4B_1A38C4015906_.wvu.Rows" sId="1"/>
    <undo index="6" exp="area" ref3D="1" dr="$A$360:$XFD$362" dn="Z_9A752CC5_36AC_48BE_BF4B_1A38C4015906_.wvu.Rows" sId="1"/>
  </rrc>
  <rrc rId="5037" sId="1" ref="A343:XFD343" action="insertRow">
    <undo index="16" exp="area" ref3D="1" dr="$A$871:$XFD$874" dn="Z_9A752CC5_36AC_48BE_BF4B_1A38C4015906_.wvu.Rows" sId="1"/>
    <undo index="14" exp="area" ref3D="1" dr="$A$825:$XFD$828" dn="Z_9A752CC5_36AC_48BE_BF4B_1A38C4015906_.wvu.Rows" sId="1"/>
    <undo index="12" exp="area" ref3D="1" dr="$A$599:$XFD$600" dn="Z_9A752CC5_36AC_48BE_BF4B_1A38C4015906_.wvu.Rows" sId="1"/>
    <undo index="10" exp="area" ref3D="1" dr="$A$562:$XFD$565" dn="Z_9A752CC5_36AC_48BE_BF4B_1A38C4015906_.wvu.Rows" sId="1"/>
    <undo index="8" exp="area" ref3D="1" dr="$A$548:$XFD$551" dn="Z_9A752CC5_36AC_48BE_BF4B_1A38C4015906_.wvu.Rows" sId="1"/>
    <undo index="6" exp="area" ref3D="1" dr="$A$361:$XFD$363" dn="Z_9A752CC5_36AC_48BE_BF4B_1A38C4015906_.wvu.Rows" sId="1"/>
  </rrc>
  <rcc rId="5038" sId="1">
    <nc r="C343">
      <v>100</v>
    </nc>
  </rcc>
  <rcc rId="5039" sId="1">
    <nc r="C344">
      <v>120</v>
    </nc>
  </rcc>
  <rcc rId="5040" sId="1">
    <nc r="C345">
      <v>123</v>
    </nc>
  </rcc>
  <rcc rId="5041" sId="1">
    <nc r="A345" t="inlineStr">
      <is>
    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  </is>
    </nc>
  </rcc>
  <rcc rId="5042" sId="1">
    <nc r="A344" t="inlineStr">
      <is>
        <t>Расходы на выплату персоналу государственных (муниципальных) органов</t>
      </is>
    </nc>
  </rcc>
  <rcc rId="5043" sId="1">
    <nc r="A34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5044" sId="1">
    <nc r="B345" t="inlineStr">
      <is>
        <t>06 2 00 80420</t>
      </is>
    </nc>
  </rcc>
  <rcc rId="5045" sId="1">
    <nc r="B344" t="inlineStr">
      <is>
        <t>06 2 00 80420</t>
      </is>
    </nc>
  </rcc>
  <rcc rId="5046" sId="1">
    <nc r="B343" t="inlineStr">
      <is>
        <t>06 2 00 80420</t>
      </is>
    </nc>
  </rcc>
  <rfmt sheetId="1" sqref="A343:XFD345">
    <dxf>
      <fill>
        <patternFill patternType="solid">
          <bgColor rgb="FFFFFF00"/>
        </patternFill>
      </fill>
    </dxf>
  </rfmt>
  <rcc rId="5047" sId="1">
    <nc r="D344">
      <f>D345</f>
    </nc>
  </rcc>
  <rcc rId="5048" sId="1">
    <nc r="E344">
      <f>E345</f>
    </nc>
  </rcc>
  <rcc rId="5049" sId="1">
    <nc r="F344">
      <f>F345</f>
    </nc>
  </rcc>
  <rcc rId="5050" sId="1">
    <nc r="D343">
      <f>D344</f>
    </nc>
  </rcc>
  <rcc rId="5051" sId="1">
    <nc r="E343">
      <f>E344</f>
    </nc>
  </rcc>
  <rcc rId="5052" sId="1">
    <nc r="F343">
      <f>F344</f>
    </nc>
  </rcc>
  <rcc rId="5053" sId="1">
    <oc r="D342">
      <f>D346+D368+D349+D357+D353</f>
    </oc>
    <nc r="D342">
      <f>D346+D368+D349+D357+D353+D343</f>
    </nc>
  </rcc>
  <rcc rId="5054" sId="1">
    <oc r="E342">
      <f>E346+E368+E349+E357+E353</f>
    </oc>
    <nc r="E342">
      <f>E346+E368+E349+E357+E353+E343</f>
    </nc>
  </rcc>
  <rcc rId="5055" sId="1">
    <oc r="F342">
      <f>F346+F368+F349+F357+F353</f>
    </oc>
    <nc r="F342">
      <f>F346+F368+F349+F357+F353+F343</f>
    </nc>
  </rcc>
  <rcc rId="5056" sId="1" numFmtId="34">
    <nc r="D345">
      <v>16665.3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7" sId="1" numFmtId="34">
    <oc r="D348">
      <v>257000</v>
    </oc>
    <nc r="D348">
      <f>257000-16665.3</f>
    </nc>
  </rcc>
  <rfmt sheetId="1" sqref="D348">
    <dxf>
      <fill>
        <patternFill patternType="solid">
          <bgColor rgb="FFFFFF00"/>
        </patternFill>
      </fill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E81E54-DD45-4653-9DCD-548F6723F554}" action="delete"/>
  <rdn rId="0" localSheetId="1" customView="1" name="Z_30E81E54_DD45_4653_9DCD_548F6723F554_.wvu.PrintArea" hidden="1" oldHidden="1">
    <formula>'программы '!$A$1:$F$757</formula>
    <oldFormula>'программы '!$A$1:$F$757</oldFormula>
  </rdn>
  <rdn rId="0" localSheetId="1" customView="1" name="Z_30E81E54_DD45_4653_9DCD_548F6723F554_.wvu.Rows" hidden="1" oldHidden="1">
    <formula>'программы '!$235:$239</formula>
    <oldFormula>'программы '!$235:$239</oldFormula>
  </rdn>
  <rdn rId="0" localSheetId="1" customView="1" name="Z_30E81E54_DD45_4653_9DCD_548F6723F554_.wvu.FilterData" hidden="1" oldHidden="1">
    <formula>'программы '!$A$1:$A$770</formula>
    <oldFormula>'программы '!$A$1:$A$770</oldFormula>
  </rdn>
  <rcv guid="{30E81E54-DD45-4653-9DCD-548F6723F554}" action="add"/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8" sId="1" numFmtId="34">
    <oc r="D786">
      <v>2532132.8199999998</v>
    </oc>
    <nc r="D786">
      <f>2532132.82+62731.94</f>
    </nc>
  </rcc>
  <rfmt sheetId="1" sqref="D786">
    <dxf>
      <fill>
        <patternFill patternType="solid">
          <bgColor rgb="FFFFFF00"/>
        </patternFill>
      </fill>
    </dxf>
  </rfmt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9" sId="1" numFmtId="34">
    <oc r="D424">
      <v>2225871.17</v>
    </oc>
    <nc r="D424">
      <f>2225871.17+39843.36</f>
    </nc>
  </rcc>
  <rfmt sheetId="1" sqref="D424">
    <dxf>
      <fill>
        <patternFill patternType="solid">
          <bgColor rgb="FFFFFF00"/>
        </patternFill>
      </fill>
    </dxf>
  </rfmt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0" sId="1" numFmtId="34">
    <oc r="D501">
      <v>1512000</v>
    </oc>
    <nc r="D501">
      <f>1512000</f>
    </nc>
  </rcc>
  <rcc rId="5061" sId="1" numFmtId="34">
    <oc r="D497">
      <v>97534.510000000009</v>
    </oc>
    <nc r="D497">
      <f>97534.51-97534.51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2" sId="1">
    <oc r="D327">
      <f>626262+540263.29-648</f>
    </oc>
    <nc r="D327">
      <f>626262+540263.29-648+384000</f>
    </nc>
  </rcc>
  <rfmt sheetId="1" sqref="D327">
    <dxf>
      <fill>
        <patternFill patternType="solid">
          <bgColor rgb="FFFFFF00"/>
        </patternFill>
      </fill>
    </dxf>
  </rfmt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3" sId="1" numFmtId="34">
    <oc r="D328">
      <v>315174.71000000002</v>
    </oc>
    <nc r="D328">
      <f>315174.71+16000</f>
    </nc>
  </rcc>
  <rfmt sheetId="1" sqref="D328">
    <dxf>
      <fill>
        <patternFill patternType="solid">
          <bgColor rgb="FFFFFF00"/>
        </patternFill>
      </fill>
    </dxf>
  </rfmt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4" sId="1" numFmtId="34">
    <oc r="D774">
      <v>440000</v>
    </oc>
    <nc r="D774">
      <f>440000-39546.6</f>
    </nc>
  </rcc>
  <rfmt sheetId="1" sqref="D774">
    <dxf>
      <fill>
        <patternFill patternType="solid">
          <bgColor rgb="FFFFFF00"/>
        </patternFill>
      </fill>
    </dxf>
  </rfmt>
  <rcc rId="5065" sId="1" numFmtId="34">
    <oc r="D819">
      <v>72000</v>
    </oc>
    <nc r="D819">
      <f>72000+39546.6</f>
    </nc>
  </rcc>
  <rfmt sheetId="1" sqref="D819">
    <dxf>
      <fill>
        <patternFill patternType="solid">
          <bgColor rgb="FFFFFF00"/>
        </patternFill>
      </fill>
    </dxf>
  </rfmt>
  <rrc rId="5066" sId="1" ref="A464:XFD464" action="insertRow">
    <undo index="16" exp="area" ref3D="1" dr="$A$872:$XFD$875" dn="Z_9A752CC5_36AC_48BE_BF4B_1A38C4015906_.wvu.Rows" sId="1"/>
    <undo index="14" exp="area" ref3D="1" dr="$A$826:$XFD$829" dn="Z_9A752CC5_36AC_48BE_BF4B_1A38C4015906_.wvu.Rows" sId="1"/>
    <undo index="12" exp="area" ref3D="1" dr="$A$600:$XFD$601" dn="Z_9A752CC5_36AC_48BE_BF4B_1A38C4015906_.wvu.Rows" sId="1"/>
    <undo index="10" exp="area" ref3D="1" dr="$A$563:$XFD$566" dn="Z_9A752CC5_36AC_48BE_BF4B_1A38C4015906_.wvu.Rows" sId="1"/>
    <undo index="8" exp="area" ref3D="1" dr="$A$549:$XFD$552" dn="Z_9A752CC5_36AC_48BE_BF4B_1A38C4015906_.wvu.Rows" sId="1"/>
  </rrc>
  <rrc rId="5067" sId="1" ref="A464:XFD464" action="insertRow">
    <undo index="16" exp="area" ref3D="1" dr="$A$873:$XFD$876" dn="Z_9A752CC5_36AC_48BE_BF4B_1A38C4015906_.wvu.Rows" sId="1"/>
    <undo index="14" exp="area" ref3D="1" dr="$A$827:$XFD$830" dn="Z_9A752CC5_36AC_48BE_BF4B_1A38C4015906_.wvu.Rows" sId="1"/>
    <undo index="12" exp="area" ref3D="1" dr="$A$601:$XFD$602" dn="Z_9A752CC5_36AC_48BE_BF4B_1A38C4015906_.wvu.Rows" sId="1"/>
    <undo index="10" exp="area" ref3D="1" dr="$A$564:$XFD$567" dn="Z_9A752CC5_36AC_48BE_BF4B_1A38C4015906_.wvu.Rows" sId="1"/>
    <undo index="8" exp="area" ref3D="1" dr="$A$550:$XFD$553" dn="Z_9A752CC5_36AC_48BE_BF4B_1A38C4015906_.wvu.Rows" sId="1"/>
  </rrc>
  <rrc rId="5068" sId="1" ref="A464:XFD464" action="insertRow">
    <undo index="16" exp="area" ref3D="1" dr="$A$874:$XFD$877" dn="Z_9A752CC5_36AC_48BE_BF4B_1A38C4015906_.wvu.Rows" sId="1"/>
    <undo index="14" exp="area" ref3D="1" dr="$A$828:$XFD$831" dn="Z_9A752CC5_36AC_48BE_BF4B_1A38C4015906_.wvu.Rows" sId="1"/>
    <undo index="12" exp="area" ref3D="1" dr="$A$602:$XFD$603" dn="Z_9A752CC5_36AC_48BE_BF4B_1A38C4015906_.wvu.Rows" sId="1"/>
    <undo index="10" exp="area" ref3D="1" dr="$A$565:$XFD$568" dn="Z_9A752CC5_36AC_48BE_BF4B_1A38C4015906_.wvu.Rows" sId="1"/>
    <undo index="8" exp="area" ref3D="1" dr="$A$551:$XFD$554" dn="Z_9A752CC5_36AC_48BE_BF4B_1A38C4015906_.wvu.Rows" sId="1"/>
  </rrc>
  <rcc rId="5069" sId="1">
    <nc r="C464">
      <v>400</v>
    </nc>
  </rcc>
  <rcc rId="5070" sId="1">
    <nc r="C465">
      <v>410</v>
    </nc>
  </rcc>
  <rcc rId="5071" sId="1">
    <nc r="C466">
      <v>414</v>
    </nc>
  </rcc>
  <rcc rId="5072" sId="1">
    <nc r="A466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5073" sId="1">
    <nc r="A465" t="inlineStr">
      <is>
        <t>Бюджетные инвестиции</t>
      </is>
    </nc>
  </rcc>
  <rcc rId="5074" sId="1">
    <nc r="A464" t="inlineStr">
      <is>
        <t>Капитальные вложения в объекты государственной (муниципальной) собственности</t>
      </is>
    </nc>
  </rcc>
  <rcc rId="5075" sId="1">
    <nc r="B464" t="inlineStr">
      <is>
        <t>12 2 00 80400</t>
      </is>
    </nc>
  </rcc>
  <rcc rId="5076" sId="1" xfDxf="1" s="1" dxf="1">
    <nc r="B465" t="inlineStr">
      <is>
        <t>12 2 00 80400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5077" sId="1" xfDxf="1" s="1" dxf="1">
    <nc r="B466" t="inlineStr">
      <is>
        <t>12 2 00 80400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5078" sId="1">
    <nc r="D465">
      <f>D466</f>
    </nc>
  </rcc>
  <rcc rId="5079" sId="1">
    <nc r="E465">
      <f>E466</f>
    </nc>
  </rcc>
  <rcc rId="5080" sId="1">
    <nc r="F465">
      <f>F466</f>
    </nc>
  </rcc>
  <rcc rId="5081" sId="1">
    <nc r="D464">
      <f>D465</f>
    </nc>
  </rcc>
  <rcc rId="5082" sId="1">
    <nc r="E464">
      <f>E465</f>
    </nc>
  </rcc>
  <rcc rId="5083" sId="1">
    <nc r="F464">
      <f>F465</f>
    </nc>
  </rcc>
  <rcc rId="5084" sId="1" numFmtId="34">
    <nc r="D466">
      <v>10000000</v>
    </nc>
  </rcc>
  <rfmt sheetId="1" sqref="D466">
    <dxf>
      <fill>
        <patternFill patternType="solid">
          <bgColor rgb="FFFFFF00"/>
        </patternFill>
      </fill>
    </dxf>
  </rfmt>
  <rfmt sheetId="1" sqref="A464:XFD466">
    <dxf>
      <fill>
        <patternFill>
          <bgColor rgb="FFFFFF00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'!$A$1:$F$982</formula>
    <oldFormula>'программы '!$A$1:$F$982</oldFormula>
  </rdn>
  <rdn rId="0" localSheetId="1" customView="1" name="Z_D9B90A86_BE39_4FED_8226_084809D277F3_.wvu.FilterData" hidden="1" oldHidden="1">
    <formula>'программы '!$C$1:$C$990</formula>
    <oldFormula>'программы '!$C$1:$C$990</oldFormula>
  </rdn>
  <rcv guid="{D9B90A86-BE39-4FED-8226-084809D277F3}" action="add"/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7" sId="1">
    <oc r="D460">
      <f>D462</f>
    </oc>
    <nc r="D460">
      <f>D462+D464</f>
    </nc>
  </rcc>
  <rcc rId="5088" sId="1">
    <oc r="E460">
      <f>E462</f>
    </oc>
    <nc r="E460">
      <f>E462+E464</f>
    </nc>
  </rcc>
  <rcc rId="5089" sId="1">
    <oc r="F460">
      <f>F462</f>
    </oc>
    <nc r="F460">
      <f>F462+F464</f>
    </nc>
  </rcc>
  <rrc rId="5090" sId="1" ref="A950:XFD950" action="insertRow"/>
  <rcc rId="5091" sId="1">
    <nc r="C950">
      <v>243</v>
    </nc>
  </rcc>
  <rcc rId="5092" sId="1">
    <nc r="B950" t="inlineStr">
      <is>
        <t>67 0 00 Э8890</t>
      </is>
    </nc>
  </rcc>
  <rcc rId="5093" sId="1" odxf="1" dxf="1">
    <nc r="A950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5094" sId="1" numFmtId="34">
    <nc r="D950">
      <v>2700000</v>
    </nc>
  </rcc>
  <rcc rId="5095" sId="1">
    <oc r="D949">
      <f>D951</f>
    </oc>
    <nc r="D949">
      <f>D951+D950</f>
    </nc>
  </rcc>
  <rcc rId="5096" sId="1">
    <oc r="E949">
      <f>E951</f>
    </oc>
    <nc r="E949">
      <f>E951+E950</f>
    </nc>
  </rcc>
  <rcc rId="5097" sId="1">
    <oc r="F949">
      <f>F951</f>
    </oc>
    <nc r="F949">
      <f>F951+F950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8" sId="1" numFmtId="34">
    <oc r="D958">
      <v>2850000</v>
    </oc>
    <nc r="D958">
      <f>2850000+150000</f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9" sId="1" numFmtId="34">
    <oc r="D794">
      <v>410000</v>
    </oc>
    <nc r="D794">
      <f>410000+127434.02</f>
    </nc>
  </rcc>
  <rfmt sheetId="1" sqref="D794">
    <dxf>
      <fill>
        <patternFill patternType="solid">
          <bgColor rgb="FFFFFF00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'!$A$1:$F$983</formula>
    <oldFormula>'программы '!$A$1:$F$983</oldFormula>
  </rdn>
  <rdn rId="0" localSheetId="1" customView="1" name="Z_D9B90A86_BE39_4FED_8226_084809D277F3_.wvu.FilterData" hidden="1" oldHidden="1">
    <formula>'программы '!$C$1:$C$991</formula>
    <oldFormula>'программы '!$C$1:$C$991</oldFormula>
  </rdn>
  <rcv guid="{D9B90A86-BE39-4FED-8226-084809D277F3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02" sId="1" ref="A837:XFD837" action="insertRow">
    <undo index="16" exp="area" ref3D="1" dr="$A$875:$XFD$878" dn="Z_9A752CC5_36AC_48BE_BF4B_1A38C4015906_.wvu.Rows" sId="1"/>
  </rrc>
  <rrc rId="5103" sId="1" ref="A837:XFD837" action="insertRow">
    <undo index="16" exp="area" ref3D="1" dr="$A$876:$XFD$879" dn="Z_9A752CC5_36AC_48BE_BF4B_1A38C4015906_.wvu.Rows" sId="1"/>
  </rrc>
  <rrc rId="5104" sId="1" ref="A837:XFD837" action="insertRow">
    <undo index="16" exp="area" ref3D="1" dr="$A$877:$XFD$880" dn="Z_9A752CC5_36AC_48BE_BF4B_1A38C4015906_.wvu.Rows" sId="1"/>
  </rrc>
  <rrc rId="5105" sId="1" ref="A837:XFD837" action="insertRow">
    <undo index="16" exp="area" ref3D="1" dr="$A$878:$XFD$881" dn="Z_9A752CC5_36AC_48BE_BF4B_1A38C4015906_.wvu.Rows" sId="1"/>
  </rrc>
  <rcc rId="5106" sId="1">
    <nc r="A840" t="inlineStr">
      <is>
        <t xml:space="preserve">Прочая закупка товаров, работ и услуг </t>
      </is>
    </nc>
  </rcc>
  <rcc rId="5107" sId="1">
    <nc r="A839" t="inlineStr">
      <is>
        <t>Иные закупки товаров,работ и услуг для обеспечения государственных (муниципальных) нужд</t>
      </is>
    </nc>
  </rcc>
  <rcc rId="5108" sId="1">
    <nc r="A838" t="inlineStr">
      <is>
        <t>Закупка товаров, работ и услуг для обеспечения государственных (муниципальных) нужд</t>
      </is>
    </nc>
  </rcc>
  <rcc rId="5109" sId="1">
    <nc r="A837" t="inlineStr">
      <is>
        <t>Прочие расходы по муниципальному жилищному фонду</t>
      </is>
    </nc>
  </rcc>
  <rfmt sheetId="1" sqref="A837:XFD840">
    <dxf>
      <fill>
        <patternFill>
          <bgColor rgb="FFFF0000"/>
        </patternFill>
      </fill>
    </dxf>
  </rfmt>
  <rcc rId="5110" sId="1">
    <nc r="C840">
      <v>244</v>
    </nc>
  </rcc>
  <rcc rId="5111" sId="1">
    <nc r="C839">
      <v>240</v>
    </nc>
  </rcc>
  <rcc rId="5112" sId="1">
    <nc r="C838">
      <v>200</v>
    </nc>
  </rcc>
  <rcc rId="5113" sId="1">
    <nc r="B838" t="inlineStr">
      <is>
        <t>59 0 00 83662</t>
      </is>
    </nc>
  </rcc>
  <rcc rId="5114" sId="1">
    <nc r="B839" t="inlineStr">
      <is>
        <t>59 0 00 83662</t>
      </is>
    </nc>
  </rcc>
  <rcc rId="5115" sId="1">
    <nc r="B840" t="inlineStr">
      <is>
        <t>59 0 00 83662</t>
      </is>
    </nc>
  </rcc>
  <rcc rId="5116" sId="1">
    <nc r="B837" t="inlineStr">
      <is>
        <t>59 0 00 83662</t>
      </is>
    </nc>
  </rcc>
  <rcc rId="5117" sId="1">
    <nc r="D839">
      <f>D840</f>
    </nc>
  </rcc>
  <rcc rId="5118" sId="1">
    <nc r="E839">
      <f>E840</f>
    </nc>
  </rcc>
  <rcc rId="5119" sId="1">
    <nc r="F839">
      <f>F840</f>
    </nc>
  </rcc>
  <rcc rId="5120" sId="1">
    <nc r="D838">
      <f>D839</f>
    </nc>
  </rcc>
  <rcc rId="5121" sId="1">
    <nc r="E838">
      <f>E839</f>
    </nc>
  </rcc>
  <rcc rId="5122" sId="1">
    <nc r="F838">
      <f>F839</f>
    </nc>
  </rcc>
  <rcc rId="5123" sId="1">
    <nc r="D837">
      <f>D838</f>
    </nc>
  </rcc>
  <rcc rId="5124" sId="1">
    <nc r="E837">
      <f>E838</f>
    </nc>
  </rcc>
  <rcc rId="5125" sId="1">
    <nc r="F837">
      <f>F838</f>
    </nc>
  </rcc>
  <rcc rId="5126" sId="1" numFmtId="34">
    <nc r="D840">
      <v>45000</v>
    </nc>
  </rcc>
  <rcc rId="5127" sId="1">
    <oc r="D799">
      <f>D800+D808+D812+D841+D829+D833</f>
    </oc>
    <nc r="D799">
      <f>D800+D808+D812+D841+D829+D833+D837</f>
    </nc>
  </rcc>
  <rcc rId="5128" sId="1">
    <oc r="E799">
      <f>E800+E808+E812+E841+E829+E833</f>
    </oc>
    <nc r="E799">
      <f>E800+E808+E812+E841+E829+E833+E837</f>
    </nc>
  </rcc>
  <rcc rId="5129" sId="1">
    <oc r="F799">
      <f>F800+F808+F812+F841+F829+F833</f>
    </oc>
    <nc r="F799">
      <f>F800+F808+F812+F841+F829+F833+F837</f>
    </nc>
  </rcc>
  <rcc rId="5130" sId="1">
    <oc r="D803">
      <f>2883700+70000-2111604.31</f>
    </oc>
    <nc r="D803">
      <f>2883700+70000-2111604.31+26700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5577" sId="1" numFmtId="34">
    <oc r="D18">
      <f>362250-162516.67</f>
    </oc>
    <nc r="D18">
      <v>362250</v>
    </nc>
  </rcc>
  <rcc rId="5578" sId="1" numFmtId="34">
    <oc r="E18">
      <v>100000</v>
    </oc>
    <nc r="E18">
      <v>362250</v>
    </nc>
  </rcc>
  <rcc rId="5579" sId="1" numFmtId="34">
    <oc r="F18">
      <v>100000</v>
    </oc>
    <nc r="F18">
      <v>362250</v>
    </nc>
  </rcc>
  <rfmt sheetId="1" sqref="A20" start="0" length="0">
    <dxf>
      <alignment vertical="top" wrapText="0" readingOrder="0"/>
      <border outline="0">
        <top/>
      </border>
    </dxf>
  </rfmt>
  <rcc rId="5580" sId="1" odxf="1" dxf="1">
    <oc r="B20" t="inlineStr">
      <is>
        <t>02 0 00 Э8160</t>
      </is>
    </oc>
    <nc r="B20" t="inlineStr">
      <is>
        <t>02 0 00 83210</t>
      </is>
    </nc>
    <ndxf>
      <border outline="0">
        <top/>
      </border>
    </ndxf>
  </rcc>
  <rfmt sheetId="1" s="1" sqref="C20" start="0" length="0">
    <dxf>
      <font>
        <i val="0"/>
        <sz val="10"/>
        <color auto="1"/>
        <name val="Times New Roman"/>
        <scheme val="none"/>
      </font>
      <numFmt numFmtId="30" formatCode="@"/>
      <border outline="0">
        <top/>
      </border>
    </dxf>
  </rfmt>
  <rcc rId="5581" sId="1">
    <oc r="D20">
      <f>D21</f>
    </oc>
    <nc r="D20">
      <f>D22</f>
    </nc>
  </rcc>
  <rcc rId="5582" sId="1">
    <oc r="E20">
      <f>E21</f>
    </oc>
    <nc r="E20">
      <f>E22</f>
    </nc>
  </rcc>
  <rcc rId="5583" sId="1">
    <oc r="F20">
      <f>F21</f>
    </oc>
    <nc r="F20">
      <f>F22</f>
    </nc>
  </rcc>
  <rfmt sheetId="1" sqref="A21" start="0" length="0">
    <dxf>
      <alignment vertical="top" readingOrder="0"/>
    </dxf>
  </rfmt>
  <rcc rId="5584" sId="1" odxf="1" dxf="1">
    <oc r="B21" t="inlineStr">
      <is>
        <t>02 0 00 Э8160</t>
      </is>
    </oc>
    <nc r="B21" t="inlineStr">
      <is>
        <t>02 0 00 83210</t>
      </is>
    </nc>
    <ndxf>
      <border outline="0">
        <top/>
      </border>
    </ndxf>
  </rcc>
  <rfmt sheetId="1" sqref="C21" start="0" length="0">
    <dxf>
      <border outline="0">
        <top/>
      </border>
    </dxf>
  </rfmt>
  <rcc rId="5585" sId="1">
    <oc r="D21">
      <f>D22</f>
    </oc>
    <nc r="D21">
      <f>D22</f>
    </nc>
  </rcc>
  <rcc rId="5586" sId="1">
    <oc r="E21">
      <f>E22</f>
    </oc>
    <nc r="E21">
      <f>E22</f>
    </nc>
  </rcc>
  <rcc rId="5587" sId="1">
    <oc r="F21">
      <f>F22</f>
    </oc>
    <nc r="F21">
      <f>F22</f>
    </nc>
  </rcc>
  <rfmt sheetId="1" sqref="A22" start="0" length="0">
    <dxf>
      <alignment vertical="top" readingOrder="0"/>
    </dxf>
  </rfmt>
  <rcc rId="5588" sId="1" odxf="1" dxf="1">
    <oc r="B22" t="inlineStr">
      <is>
        <t>02 0 00 Э8160</t>
      </is>
    </oc>
    <nc r="B22" t="inlineStr">
      <is>
        <t>02 0 00 83210</t>
      </is>
    </nc>
    <ndxf>
      <border outline="0">
        <top/>
      </border>
    </ndxf>
  </rcc>
  <rfmt sheetId="1" sqref="C22" start="0" length="0">
    <dxf>
      <border outline="0">
        <top/>
      </border>
    </dxf>
  </rfmt>
  <rcc rId="5589" sId="1">
    <oc r="D22">
      <f>D23</f>
    </oc>
    <nc r="D22">
      <f>D23</f>
    </nc>
  </rcc>
  <rcc rId="5590" sId="1">
    <oc r="E22">
      <f>E23</f>
    </oc>
    <nc r="E22">
      <f>E23</f>
    </nc>
  </rcc>
  <rcc rId="5591" sId="1">
    <oc r="F22">
      <f>F23</f>
    </oc>
    <nc r="F22">
      <f>F23</f>
    </nc>
  </rcc>
  <rfmt sheetId="1" sqref="A23" start="0" length="0">
    <dxf>
      <alignment vertical="top" readingOrder="0"/>
    </dxf>
  </rfmt>
  <rcc rId="5592" sId="1" odxf="1" dxf="1">
    <oc r="B23" t="inlineStr">
      <is>
        <t>02 0 00 Э8160</t>
      </is>
    </oc>
    <nc r="B23" t="inlineStr">
      <is>
        <t>02 0 00 83210</t>
      </is>
    </nc>
    <ndxf>
      <border outline="0">
        <top/>
      </border>
    </ndxf>
  </rcc>
  <rfmt sheetId="1" sqref="C23" start="0" length="0">
    <dxf>
      <border outline="0">
        <top/>
      </border>
    </dxf>
  </rfmt>
  <rfmt sheetId="1" sqref="D23" start="0" length="0">
    <dxf>
      <numFmt numFmtId="167" formatCode="_(* #,##0.00_);_(* \(#,##0.00\);_(* &quot;-&quot;??_);_(@_)"/>
      <alignment horizontal="center" readingOrder="0"/>
    </dxf>
  </rfmt>
  <rfmt sheetId="1" sqref="E23" start="0" length="0">
    <dxf>
      <numFmt numFmtId="167" formatCode="_(* #,##0.00_);_(* \(#,##0.00\);_(* &quot;-&quot;??_);_(@_)"/>
      <alignment horizontal="center" readingOrder="0"/>
    </dxf>
  </rfmt>
  <rfmt sheetId="1" sqref="F23" start="0" length="0">
    <dxf>
      <numFmt numFmtId="167" formatCode="_(* #,##0.00_);_(* \(#,##0.00\);_(* &quot;-&quot;??_);_(@_)"/>
      <alignment horizontal="center" readingOrder="0"/>
    </dxf>
  </rfmt>
  <rcc rId="5593" sId="1">
    <oc r="A20" t="inlineStr">
      <is>
        <t>Реализация мероприятий по социально-экономическому развитию</t>
      </is>
    </oc>
    <nc r="A20" t="inlineStr">
      <is>
        <t>Cодержание  автомобильных дорог (дорожный фонд Плесецкого муниципального округа)</t>
      </is>
    </nc>
  </rcc>
  <rcc rId="5594" sId="1">
    <oc r="B24" t="inlineStr">
      <is>
        <t>02 0 00 83210</t>
      </is>
    </oc>
    <nc r="B24" t="inlineStr">
      <is>
        <t>02 0 00 83220</t>
      </is>
    </nc>
  </rcc>
  <rcc rId="5595" sId="1">
    <oc r="B25" t="inlineStr">
      <is>
        <t>02 0 00 83210</t>
      </is>
    </oc>
    <nc r="B25" t="inlineStr">
      <is>
        <t>02 0 00 83220</t>
      </is>
    </nc>
  </rcc>
  <rcc rId="5596" sId="1">
    <oc r="B26" t="inlineStr">
      <is>
        <t>02 0 00 83210</t>
      </is>
    </oc>
    <nc r="B26" t="inlineStr">
      <is>
        <t>02 0 00 83220</t>
      </is>
    </nc>
  </rcc>
  <rcc rId="5597" sId="1">
    <oc r="B27" t="inlineStr">
      <is>
        <t>02 0 00 83210</t>
      </is>
    </oc>
    <nc r="B27" t="inlineStr">
      <is>
        <t>02 0 00 83220</t>
      </is>
    </nc>
  </rcc>
  <rcc rId="5598" sId="1" numFmtId="34">
    <oc r="D30">
      <f>2659965.94+984473.45-1841277.9</f>
    </oc>
    <nc r="D30">
      <v>0</v>
    </nc>
  </rcc>
  <rcc rId="5599" sId="1" numFmtId="34">
    <oc r="D23">
      <v>3000000</v>
    </oc>
    <nc r="D23">
      <v>46420470</v>
    </nc>
  </rcc>
  <rcc rId="5600" sId="1" numFmtId="34">
    <oc r="E23">
      <v>0</v>
    </oc>
    <nc r="E23">
      <v>47729630</v>
    </nc>
  </rcc>
  <rcc rId="5601" sId="1" numFmtId="34">
    <nc r="F23">
      <v>47932010</v>
    </nc>
  </rcc>
  <rcc rId="5602" sId="1" numFmtId="34">
    <oc r="D27">
      <f>54932575.22-984473.45+1841277.9</f>
    </oc>
    <nc r="D27">
      <v>9750000</v>
    </nc>
  </rcc>
  <rcc rId="5603" sId="1" numFmtId="34">
    <oc r="E27">
      <f>52347600-29</f>
    </oc>
    <nc r="E27">
      <v>9750000</v>
    </nc>
  </rcc>
  <rcc rId="5604" sId="1" numFmtId="34">
    <oc r="F27">
      <f>52396600-29</f>
    </oc>
    <nc r="F27">
      <v>11000000</v>
    </nc>
  </rcc>
  <rcc rId="5605" sId="1">
    <oc r="A24" t="inlineStr">
      <is>
        <t>Капитальный ремонт, ремонт и содержание  автомобильных дорог (дорожный фонд Плесецкого муниципального округа)</t>
      </is>
    </oc>
    <nc r="A24" t="inlineStr">
      <is>
        <t>Ремонт  автомобильных дорог (дорожный фонд Плесецкого муниципального округа)</t>
      </is>
    </nc>
  </rcc>
  <rcc rId="5606" sId="1" numFmtId="34">
    <oc r="F36">
      <v>2271052</v>
    </oc>
    <nc r="F36">
      <v>0</v>
    </nc>
  </rcc>
  <rcc rId="5607" sId="1" numFmtId="34">
    <nc r="D36">
      <v>0</v>
    </nc>
  </rcc>
  <rcc rId="5608" sId="1" numFmtId="34">
    <nc r="E36">
      <v>0</v>
    </nc>
  </rcc>
  <rcc rId="5609" sId="1" numFmtId="34">
    <oc r="D40">
      <v>16665000</v>
    </oc>
    <nc r="D40">
      <v>18582915.010000002</v>
    </nc>
  </rcc>
  <rcc rId="5610" sId="1" numFmtId="34">
    <oc r="E40">
      <v>7240725.2699999996</v>
    </oc>
    <nc r="E40">
      <v>18359920.030000001</v>
    </nc>
  </rcc>
  <rcc rId="5611" sId="1" numFmtId="34">
    <oc r="F40">
      <v>6939482.9500000002</v>
    </oc>
    <nc r="F40">
      <v>19094316.829999998</v>
    </nc>
  </rcc>
  <rcc rId="5612" sId="1" numFmtId="34">
    <oc r="D44">
      <v>185204583</v>
    </oc>
    <nc r="D44">
      <v>196423183</v>
    </nc>
  </rcc>
  <rcc rId="5613" sId="1" numFmtId="34">
    <oc r="E44">
      <v>213836411</v>
    </oc>
    <nc r="E44">
      <v>191772671.19999999</v>
    </nc>
  </rcc>
  <rcc rId="5614" sId="1" numFmtId="34">
    <oc r="F44">
      <v>215799987</v>
    </oc>
    <nc r="F44">
      <v>176407593.40000001</v>
    </nc>
  </rcc>
  <rcc rId="5615" sId="1" numFmtId="34">
    <oc r="D48">
      <v>12906367.300000001</v>
    </oc>
    <nc r="D48">
      <v>12541711.42</v>
    </nc>
  </rcc>
  <rcc rId="5616" sId="1" numFmtId="34">
    <oc r="E48">
      <f>11693270-2013650</f>
    </oc>
    <nc r="E48">
      <v>16172487.48</v>
    </nc>
  </rcc>
  <rcc rId="5617" sId="1" numFmtId="34">
    <oc r="F48">
      <f>7005140-1249960</f>
    </oc>
    <nc r="F48">
      <v>15739600.949999999</v>
    </nc>
  </rcc>
  <rcc rId="5618" sId="1" numFmtId="34">
    <oc r="D52">
      <v>1275000</v>
    </oc>
    <nc r="D52">
      <v>0</v>
    </nc>
  </rcc>
  <rrc rId="5619" sId="1" ref="A53:XFD53" action="deleteRow">
    <undo index="9" exp="ref" v="1" dr="F53" r="F32" sId="1"/>
    <undo index="9" exp="ref" v="1" dr="E53" r="E32" sId="1"/>
    <undo index="9" exp="ref" v="1" dr="D53" r="D32" sId="1"/>
    <undo index="0" exp="area" ref3D="1" dr="$A$295:$XFD$303" dn="Z_30E81E54_DD45_4653_9DCD_548F6723F554_.wvu.Rows" sId="1"/>
    <rfmt sheetId="1" xfDxf="1" sqref="A53:XFD53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53" t="inlineStr">
        <is>
          <t>Реализация мероприятий по социально-экономическому развитию муниципальных округов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" t="inlineStr">
        <is>
          <t>03 1 00 Э8160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3" start="0" length="0">
      <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53">
        <f>D54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3">
        <f>E54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3">
        <f>F54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" start="0" length="0">
      <dxf>
        <fill>
          <patternFill>
            <bgColor theme="0"/>
          </patternFill>
        </fill>
      </dxf>
    </rfmt>
    <rfmt sheetId="1" sqref="H53" start="0" length="0">
      <dxf>
        <fill>
          <patternFill>
            <bgColor theme="0"/>
          </patternFill>
        </fill>
      </dxf>
    </rfmt>
    <rfmt sheetId="1" sqref="I53" start="0" length="0">
      <dxf>
        <fill>
          <patternFill>
            <bgColor theme="0"/>
          </patternFill>
        </fill>
      </dxf>
    </rfmt>
    <rfmt sheetId="1" sqref="J53" start="0" length="0">
      <dxf>
        <fill>
          <patternFill>
            <bgColor theme="0"/>
          </patternFill>
        </fill>
      </dxf>
    </rfmt>
  </rrc>
  <rrc rId="5620" sId="1" ref="A53:XFD53" action="deleteRow">
    <undo index="0" exp="area" ref3D="1" dr="$A$294:$XFD$302" dn="Z_30E81E54_DD45_4653_9DCD_548F6723F554_.wvu.Rows" sId="1"/>
    <rfmt sheetId="1" xfDxf="1" sqref="A53:XFD53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53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" t="inlineStr">
        <is>
          <t>03 1 00 Э8160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">
        <v>600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3">
        <f>D54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3">
        <f>E54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3">
        <f>F54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" start="0" length="0">
      <dxf>
        <fill>
          <patternFill>
            <bgColor theme="0"/>
          </patternFill>
        </fill>
      </dxf>
    </rfmt>
    <rfmt sheetId="1" sqref="H53" start="0" length="0">
      <dxf>
        <fill>
          <patternFill>
            <bgColor theme="0"/>
          </patternFill>
        </fill>
      </dxf>
    </rfmt>
    <rfmt sheetId="1" sqref="I53" start="0" length="0">
      <dxf>
        <fill>
          <patternFill>
            <bgColor theme="0"/>
          </patternFill>
        </fill>
      </dxf>
    </rfmt>
    <rfmt sheetId="1" sqref="J53" start="0" length="0">
      <dxf>
        <fill>
          <patternFill>
            <bgColor theme="0"/>
          </patternFill>
        </fill>
      </dxf>
    </rfmt>
  </rrc>
  <rrc rId="5621" sId="1" ref="A53:XFD53" action="deleteRow">
    <undo index="0" exp="area" ref3D="1" dr="$A$293:$XFD$301" dn="Z_30E81E54_DD45_4653_9DCD_548F6723F554_.wvu.Rows" sId="1"/>
    <rfmt sheetId="1" xfDxf="1" sqref="A53:XFD53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53" t="inlineStr">
        <is>
          <t>Субсидии бюджетным учреждениям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" t="inlineStr">
        <is>
          <t>03 1 00 Э8160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">
        <v>610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3">
        <f>D54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3">
        <f>E54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3">
        <f>F54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" start="0" length="0">
      <dxf>
        <fill>
          <patternFill>
            <bgColor theme="0"/>
          </patternFill>
        </fill>
      </dxf>
    </rfmt>
    <rfmt sheetId="1" sqref="H53" start="0" length="0">
      <dxf>
        <fill>
          <patternFill>
            <bgColor theme="0"/>
          </patternFill>
        </fill>
      </dxf>
    </rfmt>
    <rfmt sheetId="1" sqref="I53" start="0" length="0">
      <dxf>
        <fill>
          <patternFill>
            <bgColor theme="0"/>
          </patternFill>
        </fill>
      </dxf>
    </rfmt>
    <rfmt sheetId="1" sqref="J53" start="0" length="0">
      <dxf>
        <fill>
          <patternFill>
            <bgColor theme="0"/>
          </patternFill>
        </fill>
      </dxf>
    </rfmt>
  </rrc>
  <rrc rId="5622" sId="1" ref="A53:XFD53" action="deleteRow">
    <undo index="0" exp="area" ref3D="1" dr="$A$292:$XFD$300" dn="Z_30E81E54_DD45_4653_9DCD_548F6723F554_.wvu.Rows" sId="1"/>
    <rfmt sheetId="1" xfDxf="1" sqref="A53:XFD53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53" t="inlineStr">
        <is>
          <t>Субсидии бюджетным учреждениям на иные цели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" t="inlineStr">
        <is>
          <t>03 1 00 Э8160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">
        <v>612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53">
        <v>1198963.8799999999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53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3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" start="0" length="0">
      <dxf>
        <fill>
          <patternFill>
            <bgColor theme="0"/>
          </patternFill>
        </fill>
      </dxf>
    </rfmt>
    <rfmt sheetId="1" sqref="H53" start="0" length="0">
      <dxf>
        <fill>
          <patternFill>
            <bgColor theme="0"/>
          </patternFill>
        </fill>
      </dxf>
    </rfmt>
    <rfmt sheetId="1" sqref="I53" start="0" length="0">
      <dxf>
        <fill>
          <patternFill>
            <bgColor theme="0"/>
          </patternFill>
        </fill>
      </dxf>
    </rfmt>
    <rfmt sheetId="1" sqref="J53" start="0" length="0">
      <dxf>
        <fill>
          <patternFill>
            <bgColor theme="0"/>
          </patternFill>
        </fill>
      </dxf>
    </rfmt>
  </rrc>
  <rcc rId="5623" sId="1" numFmtId="34">
    <oc r="D56">
      <f>101767672.76+3329131.58</f>
    </oc>
    <nc r="D56">
      <v>104491775.02</v>
    </nc>
  </rcc>
  <rcc rId="5624" sId="1" numFmtId="34">
    <oc r="E56">
      <v>65763371.750000007</v>
    </oc>
    <nc r="E56">
      <v>71507580.109999999</v>
    </nc>
  </rcc>
  <rcc rId="5625" sId="1" numFmtId="34">
    <oc r="F56">
      <v>67993782.450000003</v>
    </oc>
    <nc r="F56">
      <v>78496047.310000002</v>
    </nc>
  </rcc>
  <rcc rId="5626" sId="1" numFmtId="34">
    <oc r="D57">
      <v>5074868.5</v>
    </oc>
    <nc r="D57">
      <v>5513133.0999999996</v>
    </nc>
  </rcc>
  <rcc rId="5627" sId="1" numFmtId="34">
    <oc r="E57">
      <v>5074868.5</v>
    </oc>
    <nc r="E57">
      <v>5513133.0999999996</v>
    </nc>
  </rcc>
  <rcc rId="5628" sId="1" numFmtId="34">
    <oc r="F57">
      <v>5074868.5</v>
    </oc>
    <nc r="F57">
      <v>5513133.0999999996</v>
    </nc>
  </rcc>
  <rcc rId="5629" sId="1" numFmtId="34">
    <oc r="D61">
      <f>927855+15800+216197</f>
    </oc>
    <nc r="D61">
      <v>1231807.5</v>
    </nc>
  </rcc>
  <rcc rId="5630" sId="1" numFmtId="34">
    <oc r="E61">
      <v>927855</v>
    </oc>
    <nc r="E61">
      <v>1231807.5</v>
    </nc>
  </rcc>
  <rcc rId="5631" sId="1" numFmtId="34">
    <oc r="F61">
      <v>927855</v>
    </oc>
    <nc r="F61">
      <v>1231807.5</v>
    </nc>
  </rcc>
  <rcc rId="5632" sId="1" numFmtId="34">
    <oc r="D66">
      <v>489600</v>
    </oc>
    <nc r="D66">
      <v>0</v>
    </nc>
  </rcc>
  <rrc rId="5633" sId="1" ref="A67:XFD67" action="insertRow">
    <undo index="0" exp="area" ref3D="1" dr="$A$291:$XFD$299" dn="Z_30E81E54_DD45_4653_9DCD_548F6723F554_.wvu.Rows" sId="1"/>
  </rrc>
  <rcc rId="5634" sId="1">
    <nc r="A67" t="inlineStr">
      <is>
        <t>Мероприятия в рамках Федерального проекта «Педагоги и наставники»</t>
      </is>
    </nc>
  </rcc>
  <rcc rId="5635" sId="1">
    <nc r="B67" t="inlineStr">
      <is>
        <t>03 2 Ю6 00000</t>
      </is>
    </nc>
  </rcc>
  <rcc rId="5636" sId="1">
    <nc r="D67">
      <f>D68</f>
    </nc>
  </rcc>
  <rcc rId="5637" sId="1">
    <nc r="E67">
      <f>E68</f>
    </nc>
  </rcc>
  <rcc rId="5638" sId="1">
    <nc r="F67">
      <f>F68</f>
    </nc>
  </rcc>
  <rcc rId="5639" sId="1">
    <oc r="B68" t="inlineStr">
      <is>
        <t>03 2 00 R3032</t>
      </is>
    </oc>
    <nc r="B68" t="inlineStr">
      <is>
        <t>03 2 Ю6 53032</t>
      </is>
    </nc>
  </rcc>
  <rcc rId="5640" sId="1">
    <oc r="B69" t="inlineStr">
      <is>
        <t>03 2 00 R3032</t>
      </is>
    </oc>
    <nc r="B69" t="inlineStr">
      <is>
        <t>03 2 Ю6 53032</t>
      </is>
    </nc>
  </rcc>
  <rcc rId="5641" sId="1">
    <oc r="B70" t="inlineStr">
      <is>
        <t>03 2 00 R3032</t>
      </is>
    </oc>
    <nc r="B70" t="inlineStr">
      <is>
        <t>03 2 Ю6 53032</t>
      </is>
    </nc>
  </rcc>
  <rcc rId="5642" sId="1">
    <oc r="B71" t="inlineStr">
      <is>
        <t>03 2 00 R3032</t>
      </is>
    </oc>
    <nc r="B71" t="inlineStr">
      <is>
        <t>03 2 Ю6 53032</t>
      </is>
    </nc>
  </rcc>
  <rcc rId="5643" sId="1" numFmtId="34">
    <oc r="D71">
      <v>63088896.25</v>
    </oc>
    <nc r="D71">
      <v>63586555.200000003</v>
    </nc>
  </rcc>
  <rcc rId="5644" sId="1" numFmtId="34">
    <oc r="E71">
      <v>33307285</v>
    </oc>
    <nc r="E71">
      <v>62577244.799999997</v>
    </nc>
  </rcc>
  <rcc rId="5645" sId="1" numFmtId="34">
    <oc r="F71">
      <v>32424070</v>
    </oc>
    <nc r="F71">
      <v>61820262</v>
    </nc>
  </rcc>
  <rcc rId="5646" sId="1" numFmtId="34">
    <oc r="E75">
      <v>105019101.12</v>
    </oc>
    <nc r="E75">
      <v>0</v>
    </nc>
  </rcc>
  <rcc rId="5647" sId="1" numFmtId="34">
    <nc r="D75">
      <v>0</v>
    </nc>
  </rcc>
  <rcc rId="5648" sId="1" numFmtId="34">
    <nc r="F75">
      <v>0</v>
    </nc>
  </rcc>
  <rcc rId="5649" sId="1" numFmtId="34">
    <oc r="D79">
      <v>31182593.690000001</v>
    </oc>
    <nc r="D79">
      <v>36220794.170000002</v>
    </nc>
  </rcc>
  <rcc rId="5650" sId="1" numFmtId="34">
    <oc r="E79">
      <v>29452610.77</v>
    </oc>
    <nc r="E79">
      <v>35786144.649999999</v>
    </nc>
  </rcc>
  <rcc rId="5651" sId="1" numFmtId="34">
    <oc r="F79">
      <v>29452588.66</v>
    </oc>
    <nc r="F79">
      <v>37217590.439999998</v>
    </nc>
  </rcc>
  <rcc rId="5652" sId="1" numFmtId="34">
    <oc r="D83">
      <v>476501319</v>
    </oc>
    <nc r="D83">
      <v>478701142</v>
    </nc>
  </rcc>
  <rcc rId="5653" sId="1" numFmtId="34">
    <oc r="E83">
      <v>491332408</v>
    </oc>
    <nc r="E83">
      <v>489530595.80000001</v>
    </nc>
  </rcc>
  <rcc rId="5654" sId="1" numFmtId="34">
    <oc r="F83">
      <v>490352386</v>
    </oc>
    <nc r="F83">
      <v>493409423.60000002</v>
    </nc>
  </rcc>
  <rcc rId="5655" sId="1" numFmtId="34">
    <oc r="D87">
      <v>987400</v>
    </oc>
    <nc r="D87">
      <v>0</v>
    </nc>
  </rcc>
  <rcc rId="5656" sId="1" numFmtId="34">
    <oc r="D91">
      <f>7720306.2</f>
    </oc>
    <nc r="D91">
      <v>0</v>
    </nc>
  </rcc>
  <rcc rId="5657" sId="1" numFmtId="34">
    <oc r="E91">
      <v>21210460.670000002</v>
    </oc>
    <nc r="E91">
      <v>0</v>
    </nc>
  </rcc>
  <rcc rId="5658" sId="1" numFmtId="34">
    <oc r="E95">
      <v>520282.97</v>
    </oc>
    <nc r="E95">
      <v>0</v>
    </nc>
  </rcc>
  <rcc rId="5659" sId="1" numFmtId="34">
    <oc r="F95">
      <v>1551263</v>
    </oc>
    <nc r="F95">
      <v>0</v>
    </nc>
  </rcc>
  <rcc rId="5660" sId="1" numFmtId="34">
    <oc r="D99">
      <f>209537488.25+7493762.17</f>
    </oc>
    <nc r="D99">
      <v>223571877.78999999</v>
    </nc>
  </rcc>
  <rcc rId="5661" sId="1" numFmtId="34">
    <oc r="E99">
      <v>125619716.20999999</v>
    </oc>
    <nc r="E99">
      <v>152182097.92000002</v>
    </nc>
  </rcc>
  <rcc rId="5662" sId="1" numFmtId="34">
    <oc r="F99">
      <v>130092010.89</v>
    </oc>
    <nc r="F99">
      <v>167670282.38000003</v>
    </nc>
  </rcc>
  <rcc rId="5663" sId="1" numFmtId="34">
    <oc r="E107">
      <v>3387420</v>
    </oc>
    <nc r="E107">
      <v>2641540</v>
    </nc>
  </rcc>
  <rcc rId="5664" sId="1" numFmtId="34">
    <oc r="F107">
      <v>3387420</v>
    </oc>
    <nc r="F107">
      <v>2641540</v>
    </nc>
  </rcc>
  <rcc rId="5665" sId="1" numFmtId="34">
    <oc r="E104">
      <v>3000000</v>
    </oc>
    <nc r="E104">
      <v>0</v>
    </nc>
  </rcc>
  <rcc rId="5666" sId="1" numFmtId="34">
    <oc r="D111">
      <v>2963155.95</v>
    </oc>
    <nc r="D111">
      <v>0</v>
    </nc>
  </rcc>
  <rrc rId="5667" sId="1" ref="A108:XFD108" action="deleteRow">
    <undo index="23" exp="ref" v="1" dr="F108" r="F62" sId="1"/>
    <undo index="23" exp="ref" v="1" dr="E108" r="E62" sId="1"/>
    <undo index="23" exp="ref" v="1" dr="D108" r="D62" sId="1"/>
    <undo index="0" exp="area" ref3D="1" dr="$A$292:$XFD$300" dn="Z_30E81E54_DD45_4653_9DCD_548F6723F554_.wvu.Rows" sId="1"/>
    <rfmt sheetId="1" xfDxf="1" sqref="A108:XFD10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08" t="inlineStr">
        <is>
    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    </is>
      </nc>
      <ndxf>
        <fill>
          <patternFill>
            <bgColor rgb="FFFFFF00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108" t="inlineStr">
        <is>
          <t>03 2 00 80981</t>
        </is>
      </nc>
      <ndxf>
        <numFmt numFmtId="165" formatCode="_(* #,##0.0_);_(* \(#,##0.0\);_(* &quot;-&quot;??_);_(@_)"/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="1" sqref="C108" start="0" length="0">
      <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108">
        <f>D109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8">
        <f>E109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8">
        <f>F109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ill>
          <patternFill>
            <bgColor theme="0"/>
          </patternFill>
        </fill>
      </dxf>
    </rfmt>
    <rfmt sheetId="1" sqref="H108" start="0" length="0">
      <dxf>
        <fill>
          <patternFill>
            <bgColor theme="0"/>
          </patternFill>
        </fill>
      </dxf>
    </rfmt>
    <rfmt sheetId="1" sqref="I108" start="0" length="0">
      <dxf>
        <fill>
          <patternFill>
            <bgColor theme="0"/>
          </patternFill>
        </fill>
      </dxf>
    </rfmt>
    <rfmt sheetId="1" sqref="J108" start="0" length="0">
      <dxf>
        <fill>
          <patternFill>
            <bgColor theme="0"/>
          </patternFill>
        </fill>
      </dxf>
    </rfmt>
  </rrc>
  <rrc rId="5668" sId="1" ref="A108:XFD108" action="deleteRow">
    <undo index="0" exp="area" ref3D="1" dr="$A$291:$XFD$299" dn="Z_30E81E54_DD45_4653_9DCD_548F6723F554_.wvu.Rows" sId="1"/>
    <rfmt sheetId="1" xfDxf="1" sqref="A108:XFD10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08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>
            <bgColor rgb="FFFFFF00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108" t="inlineStr">
        <is>
          <t>03 2 00 80981</t>
        </is>
      </nc>
      <ndxf>
        <numFmt numFmtId="165" formatCode="_(* #,##0.0_);_(* \(#,##0.0\);_(* &quot;-&quot;??_);_(@_)"/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108">
        <v>600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108">
        <f>D109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8">
        <f>E109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8">
        <f>F109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ill>
          <patternFill>
            <bgColor theme="0"/>
          </patternFill>
        </fill>
      </dxf>
    </rfmt>
    <rfmt sheetId="1" sqref="H108" start="0" length="0">
      <dxf>
        <fill>
          <patternFill>
            <bgColor theme="0"/>
          </patternFill>
        </fill>
      </dxf>
    </rfmt>
    <rfmt sheetId="1" sqref="I108" start="0" length="0">
      <dxf>
        <fill>
          <patternFill>
            <bgColor theme="0"/>
          </patternFill>
        </fill>
      </dxf>
    </rfmt>
    <rfmt sheetId="1" sqref="J108" start="0" length="0">
      <dxf>
        <fill>
          <patternFill>
            <bgColor theme="0"/>
          </patternFill>
        </fill>
      </dxf>
    </rfmt>
  </rrc>
  <rrc rId="5669" sId="1" ref="A108:XFD108" action="deleteRow">
    <undo index="0" exp="area" ref3D="1" dr="$A$290:$XFD$298" dn="Z_30E81E54_DD45_4653_9DCD_548F6723F554_.wvu.Rows" sId="1"/>
    <rfmt sheetId="1" xfDxf="1" sqref="A108:XFD10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08" t="inlineStr">
        <is>
          <t>Субсидии бюджетным учреждениям</t>
        </is>
      </nc>
      <ndxf>
        <fill>
          <patternFill>
            <bgColor rgb="FFFFFF00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108" t="inlineStr">
        <is>
          <t>03 2 00 80981</t>
        </is>
      </nc>
      <ndxf>
        <numFmt numFmtId="165" formatCode="_(* #,##0.0_);_(* \(#,##0.0\);_(* &quot;-&quot;??_);_(@_)"/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108">
        <v>610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108">
        <f>D109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8">
        <f>E109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8">
        <f>F109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ill>
          <patternFill>
            <bgColor theme="0"/>
          </patternFill>
        </fill>
      </dxf>
    </rfmt>
    <rfmt sheetId="1" sqref="H108" start="0" length="0">
      <dxf>
        <fill>
          <patternFill>
            <bgColor theme="0"/>
          </patternFill>
        </fill>
      </dxf>
    </rfmt>
    <rfmt sheetId="1" sqref="I108" start="0" length="0">
      <dxf>
        <fill>
          <patternFill>
            <bgColor theme="0"/>
          </patternFill>
        </fill>
      </dxf>
    </rfmt>
    <rfmt sheetId="1" sqref="J108" start="0" length="0">
      <dxf>
        <fill>
          <patternFill>
            <bgColor theme="0"/>
          </patternFill>
        </fill>
      </dxf>
    </rfmt>
  </rrc>
  <rrc rId="5670" sId="1" ref="A108:XFD108" action="deleteRow">
    <undo index="0" exp="area" ref3D="1" dr="$A$289:$XFD$297" dn="Z_30E81E54_DD45_4653_9DCD_548F6723F554_.wvu.Rows" sId="1"/>
    <rfmt sheetId="1" xfDxf="1" sqref="A108:XFD10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08" t="inlineStr">
        <is>
          <t>Субсидии бюджетным учреждениям на  иные цели</t>
        </is>
      </nc>
      <ndxf>
        <fill>
          <patternFill>
            <bgColor rgb="FFFFFF00"/>
          </patternFill>
        </fill>
        <alignment horizontal="left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108" t="inlineStr">
        <is>
          <t>03 2 00 80981</t>
        </is>
      </nc>
      <ndxf>
        <numFmt numFmtId="165" formatCode="_(* #,##0.0_);_(* \(#,##0.0\);_(* &quot;-&quot;??_);_(@_)"/>
        <fill>
          <patternFill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s="1" dxf="1">
      <nc r="C108">
        <v>612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108">
        <v>0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108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08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8" start="0" length="0">
      <dxf>
        <fill>
          <patternFill>
            <bgColor theme="0"/>
          </patternFill>
        </fill>
      </dxf>
    </rfmt>
    <rfmt sheetId="1" sqref="H108" start="0" length="0">
      <dxf>
        <fill>
          <patternFill>
            <bgColor theme="0"/>
          </patternFill>
        </fill>
      </dxf>
    </rfmt>
    <rfmt sheetId="1" sqref="I108" start="0" length="0">
      <dxf>
        <fill>
          <patternFill>
            <bgColor theme="0"/>
          </patternFill>
        </fill>
      </dxf>
    </rfmt>
    <rfmt sheetId="1" sqref="J108" start="0" length="0">
      <dxf>
        <fill>
          <patternFill>
            <bgColor theme="0"/>
          </patternFill>
        </fill>
      </dxf>
    </rfmt>
  </rrc>
  <rrc rId="5671" sId="1" ref="A102:XFD102" action="deleteRow">
    <undo index="1" exp="ref" v="1" dr="F102" r="F101" sId="1"/>
    <undo index="1" exp="ref" v="1" dr="E102" r="E101" sId="1"/>
    <undo index="1" exp="ref" v="1" dr="D102" r="D101" sId="1"/>
    <undo index="0" exp="area" ref3D="1" dr="$A$288:$XFD$296" dn="Z_30E81E54_DD45_4653_9DCD_548F6723F554_.wvu.Rows" sId="1"/>
    <rfmt sheetId="1" xfDxf="1" sqref="A102:XFD102" start="0" length="0">
      <dxf>
        <font>
          <name val="Times New Roman"/>
          <scheme val="none"/>
        </font>
        <alignment vertical="center" readingOrder="0"/>
      </dxf>
    </rfmt>
    <rcc rId="0" sId="1" dxf="1">
      <nc r="A102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102" t="inlineStr">
        <is>
          <t>03 2 00 80450</t>
        </is>
      </nc>
      <ndxf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2">
        <v>200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02">
        <f>D103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2">
        <f>E103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2">
        <f>F103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2" start="0" length="0">
      <dxf>
        <fill>
          <patternFill patternType="solid">
            <bgColor theme="0"/>
          </patternFill>
        </fill>
      </dxf>
    </rfmt>
    <rfmt sheetId="1" sqref="H102" start="0" length="0">
      <dxf>
        <fill>
          <patternFill patternType="solid">
            <bgColor theme="0"/>
          </patternFill>
        </fill>
      </dxf>
    </rfmt>
    <rfmt sheetId="1" sqref="I102" start="0" length="0">
      <dxf>
        <fill>
          <patternFill patternType="solid">
            <bgColor theme="0"/>
          </patternFill>
        </fill>
      </dxf>
    </rfmt>
    <rfmt sheetId="1" sqref="J102" start="0" length="0">
      <dxf>
        <fill>
          <patternFill patternType="solid">
            <bgColor theme="0"/>
          </patternFill>
        </fill>
      </dxf>
    </rfmt>
  </rrc>
  <rrc rId="5672" sId="1" ref="A102:XFD102" action="deleteRow">
    <undo index="0" exp="area" ref3D="1" dr="$A$287:$XFD$295" dn="Z_30E81E54_DD45_4653_9DCD_548F6723F554_.wvu.Rows" sId="1"/>
    <rfmt sheetId="1" xfDxf="1" sqref="A102:XFD102" start="0" length="0">
      <dxf>
        <font>
          <name val="Times New Roman"/>
          <scheme val="none"/>
        </font>
        <alignment vertical="center" readingOrder="0"/>
      </dxf>
    </rfmt>
    <rcc rId="0" sId="1" dxf="1">
      <nc r="A102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102" t="inlineStr">
        <is>
          <t>03 2 00 80450</t>
        </is>
      </nc>
      <ndxf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2">
        <v>240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02">
        <f>D103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02">
        <f>E103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02">
        <f>F103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2" start="0" length="0">
      <dxf>
        <fill>
          <patternFill patternType="solid">
            <bgColor theme="0"/>
          </patternFill>
        </fill>
      </dxf>
    </rfmt>
    <rfmt sheetId="1" sqref="H102" start="0" length="0">
      <dxf>
        <fill>
          <patternFill patternType="solid">
            <bgColor theme="0"/>
          </patternFill>
        </fill>
      </dxf>
    </rfmt>
    <rfmt sheetId="1" sqref="I102" start="0" length="0">
      <dxf>
        <fill>
          <patternFill patternType="solid">
            <bgColor theme="0"/>
          </patternFill>
        </fill>
      </dxf>
    </rfmt>
    <rfmt sheetId="1" sqref="J102" start="0" length="0">
      <dxf>
        <fill>
          <patternFill patternType="solid">
            <bgColor theme="0"/>
          </patternFill>
        </fill>
      </dxf>
    </rfmt>
  </rrc>
  <rrc rId="5673" sId="1" ref="A102:XFD102" action="deleteRow">
    <undo index="0" exp="area" ref3D="1" dr="$A$286:$XFD$294" dn="Z_30E81E54_DD45_4653_9DCD_548F6723F554_.wvu.Rows" sId="1"/>
    <rfmt sheetId="1" xfDxf="1" sqref="A102:XFD102" start="0" length="0">
      <dxf>
        <font>
          <name val="Times New Roman"/>
          <scheme val="none"/>
        </font>
        <alignment vertical="center" readingOrder="0"/>
      </dxf>
    </rfmt>
    <rcc rId="0" sId="1" dxf="1">
      <nc r="A102" t="inlineStr">
        <is>
          <t xml:space="preserve">Прочая закупка товаров, работ и услуг 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102" t="inlineStr">
        <is>
          <t>03 2 00 80450</t>
        </is>
      </nc>
      <ndxf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2">
        <v>244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02">
        <f>253536-253536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02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02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2" start="0" length="0">
      <dxf>
        <fill>
          <patternFill patternType="solid">
            <bgColor theme="0"/>
          </patternFill>
        </fill>
      </dxf>
    </rfmt>
    <rfmt sheetId="1" sqref="H102" start="0" length="0">
      <dxf>
        <fill>
          <patternFill patternType="solid">
            <bgColor theme="0"/>
          </patternFill>
        </fill>
      </dxf>
    </rfmt>
    <rfmt sheetId="1" sqref="I102" start="0" length="0">
      <dxf>
        <fill>
          <patternFill patternType="solid">
            <bgColor theme="0"/>
          </patternFill>
        </fill>
      </dxf>
    </rfmt>
    <rfmt sheetId="1" sqref="J102" start="0" length="0">
      <dxf>
        <fill>
          <patternFill patternType="solid">
            <bgColor theme="0"/>
          </patternFill>
        </fill>
      </dxf>
    </rfmt>
  </rrc>
  <rcc rId="5674" sId="1">
    <oc r="D101">
      <f>D103+#REF!</f>
    </oc>
    <nc r="D101">
      <f>D103</f>
    </nc>
  </rcc>
  <rcc rId="5675" sId="1">
    <oc r="E101">
      <f>E103+#REF!</f>
    </oc>
    <nc r="E101">
      <f>E103</f>
    </nc>
  </rcc>
  <rcc rId="5676" sId="1">
    <oc r="F101">
      <f>F103+#REF!</f>
    </oc>
    <nc r="F101">
      <f>F103</f>
    </nc>
  </rcc>
  <rcc rId="5677" sId="1" odxf="1" dxf="1">
    <oc r="D109">
      <f>D111</f>
    </oc>
    <nc r="D109">
      <f>D111</f>
    </nc>
    <odxf>
      <numFmt numFmtId="167" formatCode="_(* #,##0.00_);_(* \(#,##0.00\);_(* &quot;-&quot;??_);_(@_)"/>
      <alignment horizontal="center" readingOrder="0"/>
    </odxf>
    <ndxf>
      <numFmt numFmtId="164" formatCode="_-* #,##0.00_р_._-;\-* #,##0.00_р_._-;_-* &quot;-&quot;??_р_._-;_-@_-"/>
      <alignment horizontal="general" readingOrder="0"/>
    </ndxf>
  </rcc>
  <rcc rId="5678" sId="1" odxf="1" dxf="1">
    <oc r="E109">
      <f>E111</f>
    </oc>
    <nc r="E109">
      <f>E111</f>
    </nc>
    <odxf>
      <numFmt numFmtId="167" formatCode="_(* #,##0.00_);_(* \(#,##0.00\);_(* &quot;-&quot;??_);_(@_)"/>
      <alignment horizontal="center" readingOrder="0"/>
    </odxf>
    <ndxf>
      <numFmt numFmtId="164" formatCode="_-* #,##0.00_р_._-;\-* #,##0.00_р_._-;_-* &quot;-&quot;??_р_._-;_-@_-"/>
      <alignment horizontal="general" readingOrder="0"/>
    </ndxf>
  </rcc>
  <rcc rId="5679" sId="1" odxf="1" dxf="1">
    <oc r="D110">
      <f>D111</f>
    </oc>
    <nc r="D110">
      <f>D111</f>
    </nc>
    <odxf>
      <numFmt numFmtId="167" formatCode="_(* #,##0.00_);_(* \(#,##0.00\);_(* &quot;-&quot;??_);_(@_)"/>
      <alignment horizontal="center" readingOrder="0"/>
    </odxf>
    <ndxf>
      <numFmt numFmtId="164" formatCode="_-* #,##0.00_р_._-;\-* #,##0.00_р_._-;_-* &quot;-&quot;??_р_._-;_-@_-"/>
      <alignment horizontal="general" readingOrder="0"/>
    </ndxf>
  </rcc>
  <rcc rId="5680" sId="1" odxf="1" dxf="1">
    <oc r="E110">
      <f>E111</f>
    </oc>
    <nc r="E110">
      <f>E111</f>
    </nc>
    <odxf>
      <numFmt numFmtId="167" formatCode="_(* #,##0.00_);_(* \(#,##0.00\);_(* &quot;-&quot;??_);_(@_)"/>
      <alignment horizontal="center" readingOrder="0"/>
    </odxf>
    <ndxf>
      <numFmt numFmtId="164" formatCode="_-* #,##0.00_р_._-;\-* #,##0.00_р_._-;_-* &quot;-&quot;??_р_._-;_-@_-"/>
      <alignment horizontal="general" readingOrder="0"/>
    </ndxf>
  </rcc>
  <rcc rId="5681" sId="1" odxf="1" dxf="1">
    <oc r="D111">
      <f>D112</f>
    </oc>
    <nc r="D111">
      <f>D112</f>
    </nc>
    <odxf>
      <numFmt numFmtId="167" formatCode="_(* #,##0.00_);_(* \(#,##0.00\);_(* &quot;-&quot;??_);_(@_)"/>
      <alignment horizontal="center" readingOrder="0"/>
    </odxf>
    <ndxf>
      <numFmt numFmtId="164" formatCode="_-* #,##0.00_р_._-;\-* #,##0.00_р_._-;_-* &quot;-&quot;??_р_._-;_-@_-"/>
      <alignment horizontal="general" readingOrder="0"/>
    </ndxf>
  </rcc>
  <rcc rId="5682" sId="1" odxf="1" dxf="1">
    <oc r="E111">
      <f>E112</f>
    </oc>
    <nc r="E111">
      <f>E112</f>
    </nc>
    <odxf>
      <numFmt numFmtId="167" formatCode="_(* #,##0.00_);_(* \(#,##0.00\);_(* &quot;-&quot;??_);_(@_)"/>
      <alignment horizontal="center" readingOrder="0"/>
      <border outline="0">
        <left style="thin">
          <color indexed="64"/>
        </left>
      </border>
    </odxf>
    <ndxf>
      <numFmt numFmtId="164" formatCode="_-* #,##0.00_р_._-;\-* #,##0.00_р_._-;_-* &quot;-&quot;??_р_._-;_-@_-"/>
      <alignment horizontal="general" readingOrder="0"/>
      <border outline="0">
        <left/>
      </border>
    </ndxf>
  </rcc>
  <rcc rId="5683" sId="1" numFmtId="34">
    <oc r="D116">
      <v>358620.91</v>
    </oc>
    <nc r="D116">
      <v>117241.45</v>
    </nc>
  </rcc>
  <rcc rId="5684" sId="1" numFmtId="34">
    <oc r="E116">
      <v>303615.37</v>
    </oc>
    <nc r="E116">
      <v>117241.45</v>
    </nc>
  </rcc>
  <rcc rId="5685" sId="1" numFmtId="34">
    <oc r="F116">
      <v>303615.37</v>
    </oc>
    <nc r="F116">
      <v>117241.45</v>
    </nc>
  </rcc>
  <rrc rId="5686" sId="1" ref="A88:XFD88" action="deleteRow">
    <undo index="21" exp="ref" v="1" dr="F88" r="F62" sId="1"/>
    <undo index="21" exp="ref" v="1" dr="E88" r="E62" sId="1"/>
    <undo index="21" exp="ref" v="1" dr="D88" r="D62" sId="1"/>
    <undo index="0" exp="area" ref3D="1" dr="$A$285:$XFD$293" dn="Z_30E81E54_DD45_4653_9DCD_548F6723F554_.wvu.Rows" sId="1"/>
    <rfmt sheetId="1" xfDxf="1" sqref="A88:XFD8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88" t="inlineStr">
        <is>
      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      </is>
      </nc>
      <ndxf>
        <numFmt numFmtId="30" formatCode="@"/>
        <fill>
          <patternFill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8" t="inlineStr">
        <is>
          <t>03 2 00 Э4700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88" start="0" length="0">
      <dxf>
        <numFmt numFmtId="166" formatCode="_(* #,##0_);_(* \(#,##0\);_(* &quot;-&quot;??_);_(@_)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88">
        <f>D89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88">
        <f>E89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88">
        <f>F89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8" start="0" length="0">
      <dxf>
        <fill>
          <patternFill>
            <bgColor theme="0"/>
          </patternFill>
        </fill>
      </dxf>
    </rfmt>
    <rfmt sheetId="1" sqref="H88" start="0" length="0">
      <dxf>
        <fill>
          <patternFill>
            <bgColor theme="0"/>
          </patternFill>
        </fill>
      </dxf>
    </rfmt>
    <rfmt sheetId="1" sqref="I88" start="0" length="0">
      <dxf>
        <fill>
          <patternFill>
            <bgColor theme="0"/>
          </patternFill>
        </fill>
      </dxf>
    </rfmt>
    <rfmt sheetId="1" sqref="J88" start="0" length="0">
      <dxf>
        <fill>
          <patternFill>
            <bgColor theme="0"/>
          </patternFill>
        </fill>
      </dxf>
    </rfmt>
  </rrc>
  <rrc rId="5687" sId="1" ref="A88:XFD88" action="deleteRow">
    <undo index="0" exp="area" ref3D="1" dr="$A$284:$XFD$292" dn="Z_30E81E54_DD45_4653_9DCD_548F6723F554_.wvu.Rows" sId="1"/>
    <rfmt sheetId="1" xfDxf="1" sqref="A88:XFD8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88" t="inlineStr">
        <is>
          <t>Предоставление субсидий бюджетным, автономным учреждениям и иным некоммерческим организациям</t>
        </is>
      </nc>
      <ndxf>
        <numFmt numFmtId="30" formatCode="@"/>
        <fill>
          <patternFill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8" t="inlineStr">
        <is>
          <t>03 2 00 Э4700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88">
        <v>600</v>
      </nc>
      <ndxf>
        <numFmt numFmtId="166" formatCode="_(* #,##0_);_(* \(#,##0\);_(* &quot;-&quot;??_);_(@_)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88">
        <f>D89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88">
        <f>E89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88">
        <f>F89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8" start="0" length="0">
      <dxf>
        <fill>
          <patternFill>
            <bgColor theme="0"/>
          </patternFill>
        </fill>
      </dxf>
    </rfmt>
    <rfmt sheetId="1" sqref="H88" start="0" length="0">
      <dxf>
        <fill>
          <patternFill>
            <bgColor theme="0"/>
          </patternFill>
        </fill>
      </dxf>
    </rfmt>
    <rfmt sheetId="1" sqref="I88" start="0" length="0">
      <dxf>
        <fill>
          <patternFill>
            <bgColor theme="0"/>
          </patternFill>
        </fill>
      </dxf>
    </rfmt>
    <rfmt sheetId="1" sqref="J88" start="0" length="0">
      <dxf>
        <fill>
          <patternFill>
            <bgColor theme="0"/>
          </patternFill>
        </fill>
      </dxf>
    </rfmt>
  </rrc>
  <rrc rId="5688" sId="1" ref="A88:XFD88" action="deleteRow">
    <undo index="0" exp="area" ref3D="1" dr="$A$283:$XFD$291" dn="Z_30E81E54_DD45_4653_9DCD_548F6723F554_.wvu.Rows" sId="1"/>
    <rfmt sheetId="1" xfDxf="1" sqref="A88:XFD8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88" t="inlineStr">
        <is>
          <t>Субсидии бюджетным учреждениям</t>
        </is>
      </nc>
      <ndxf>
        <numFmt numFmtId="30" formatCode="@"/>
        <fill>
          <patternFill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8" t="inlineStr">
        <is>
          <t>03 2 00 Э4700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88">
        <v>610</v>
      </nc>
      <ndxf>
        <numFmt numFmtId="166" formatCode="_(* #,##0_);_(* \(#,##0\);_(* &quot;-&quot;??_);_(@_)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88">
        <f>D89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88">
        <f>E89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88">
        <f>F89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8" start="0" length="0">
      <dxf>
        <fill>
          <patternFill>
            <bgColor theme="0"/>
          </patternFill>
        </fill>
      </dxf>
    </rfmt>
    <rfmt sheetId="1" sqref="H88" start="0" length="0">
      <dxf>
        <fill>
          <patternFill>
            <bgColor theme="0"/>
          </patternFill>
        </fill>
      </dxf>
    </rfmt>
    <rfmt sheetId="1" sqref="I88" start="0" length="0">
      <dxf>
        <fill>
          <patternFill>
            <bgColor theme="0"/>
          </patternFill>
        </fill>
      </dxf>
    </rfmt>
    <rfmt sheetId="1" sqref="J88" start="0" length="0">
      <dxf>
        <fill>
          <patternFill>
            <bgColor theme="0"/>
          </patternFill>
        </fill>
      </dxf>
    </rfmt>
  </rrc>
  <rrc rId="5689" sId="1" ref="A88:XFD88" action="deleteRow">
    <undo index="0" exp="area" ref3D="1" dr="$A$282:$XFD$290" dn="Z_30E81E54_DD45_4653_9DCD_548F6723F554_.wvu.Rows" sId="1"/>
    <rfmt sheetId="1" xfDxf="1" sqref="A88:XFD8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88" t="inlineStr">
        <is>
          <t>Субсидии бюджетным учреждениям на иные цели</t>
        </is>
      </nc>
      <ndxf>
        <numFmt numFmtId="30" formatCode="@"/>
        <fill>
          <patternFill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8" t="inlineStr">
        <is>
          <t>03 2 00 Э4700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88">
        <v>612</v>
      </nc>
      <ndxf>
        <numFmt numFmtId="166" formatCode="_(* #,##0_);_(* \(#,##0\);_(* &quot;-&quot;??_);_(@_)"/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88">
        <v>0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88">
        <v>0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88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8" start="0" length="0">
      <dxf>
        <fill>
          <patternFill>
            <bgColor theme="0"/>
          </patternFill>
        </fill>
      </dxf>
    </rfmt>
    <rfmt sheetId="1" sqref="H88" start="0" length="0">
      <dxf>
        <fill>
          <patternFill>
            <bgColor theme="0"/>
          </patternFill>
        </fill>
      </dxf>
    </rfmt>
    <rfmt sheetId="1" sqref="I88" start="0" length="0">
      <dxf>
        <fill>
          <patternFill>
            <bgColor theme="0"/>
          </patternFill>
        </fill>
      </dxf>
    </rfmt>
    <rfmt sheetId="1" sqref="J88" start="0" length="0">
      <dxf>
        <fill>
          <patternFill>
            <bgColor theme="0"/>
          </patternFill>
        </fill>
      </dxf>
    </rfmt>
  </rrc>
  <rrc rId="5690" sId="1" ref="A122:XFD122" action="deleteRow">
    <undo index="15" exp="ref" v="1" dr="F122" r="F62" sId="1"/>
    <undo index="15" exp="ref" v="1" dr="E122" r="E62" sId="1"/>
    <undo index="15" exp="ref" v="1" dr="D122" r="D62" sId="1"/>
    <undo index="0" exp="area" ref3D="1" dr="$A$281:$XFD$289" dn="Z_30E81E54_DD45_4653_9DCD_548F6723F554_.wvu.Rows" sId="1"/>
    <rfmt sheetId="1" xfDxf="1" sqref="A122:XFD122" start="0" length="0">
      <dxf>
        <font>
          <name val="Times New Roman"/>
          <scheme val="none"/>
        </font>
        <alignment vertical="center" readingOrder="0"/>
      </dxf>
    </rfmt>
    <rcc rId="0" sId="1" dxf="1">
      <nc r="A122" t="inlineStr">
        <is>
          <t>Мероприятия в рамках Федерального проекта "Успех каждого ребенка"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03 2 Е2 00000</t>
        </is>
      </nc>
      <ndxf>
        <fill>
          <patternFill patternType="solid"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ill>
          <patternFill patternType="solid"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122">
        <f>D123+D127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2">
        <f>E123+E127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2">
        <f>F123+F127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2" start="0" length="0">
      <dxf>
        <fill>
          <patternFill patternType="solid">
            <bgColor theme="0"/>
          </patternFill>
        </fill>
      </dxf>
    </rfmt>
    <rfmt sheetId="1" sqref="H122" start="0" length="0">
      <dxf>
        <fill>
          <patternFill patternType="solid">
            <bgColor theme="0"/>
          </patternFill>
        </fill>
      </dxf>
    </rfmt>
    <rfmt sheetId="1" sqref="I122" start="0" length="0">
      <dxf>
        <fill>
          <patternFill patternType="solid">
            <bgColor theme="0"/>
          </patternFill>
        </fill>
      </dxf>
    </rfmt>
    <rfmt sheetId="1" sqref="J122" start="0" length="0">
      <dxf>
        <fill>
          <patternFill patternType="solid">
            <bgColor theme="0"/>
          </patternFill>
        </fill>
      </dxf>
    </rfmt>
  </rrc>
  <rrc rId="5691" sId="1" ref="A122:XFD122" action="deleteRow">
    <undo index="0" exp="area" ref3D="1" dr="$A$280:$XFD$288" dn="Z_30E81E54_DD45_4653_9DCD_548F6723F554_.wvu.Rows" sId="1"/>
    <rfmt sheetId="1" xfDxf="1" sqref="A122:XFD12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22" t="inlineStr">
        <is>
          <t>Создание в общеобразовательных организациях, расположенных в сельской местности, условий для занятий физической культурой и спортом</t>
        </is>
      </nc>
      <ndxf>
        <fill>
          <patternFill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03 2 Е2 50970</t>
        </is>
      </nc>
      <ndxf>
        <fill>
          <patternFill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ill>
          <patternFill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122">
        <f>D123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2">
        <f>E123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2">
        <f>F123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2" start="0" length="0">
      <dxf>
        <fill>
          <patternFill>
            <bgColor theme="0"/>
          </patternFill>
        </fill>
      </dxf>
    </rfmt>
    <rfmt sheetId="1" sqref="H122" start="0" length="0">
      <dxf>
        <fill>
          <patternFill>
            <bgColor theme="0"/>
          </patternFill>
        </fill>
      </dxf>
    </rfmt>
    <rfmt sheetId="1" sqref="I122" start="0" length="0">
      <dxf>
        <fill>
          <patternFill>
            <bgColor theme="0"/>
          </patternFill>
        </fill>
      </dxf>
    </rfmt>
    <rfmt sheetId="1" sqref="J122" start="0" length="0">
      <dxf>
        <fill>
          <patternFill>
            <bgColor theme="0"/>
          </patternFill>
        </fill>
      </dxf>
    </rfmt>
  </rrc>
  <rrc rId="5692" sId="1" ref="A122:XFD122" action="deleteRow">
    <undo index="0" exp="area" ref3D="1" dr="$A$279:$XFD$287" dn="Z_30E81E54_DD45_4653_9DCD_548F6723F554_.wvu.Rows" sId="1"/>
    <rfmt sheetId="1" xfDxf="1" sqref="A122:XFD122" start="0" length="0">
      <dxf>
        <font>
          <name val="Times New Roman"/>
          <scheme val="none"/>
        </font>
        <alignment vertical="center" readingOrder="0"/>
      </dxf>
    </rfmt>
    <rcc rId="0" sId="1" dxf="1">
      <nc r="A122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03 2 Е2 50970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>
        <v>600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22">
        <f>D123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2">
        <f>E123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2">
        <f>F123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2" start="0" length="0">
      <dxf>
        <fill>
          <patternFill patternType="solid">
            <bgColor theme="0"/>
          </patternFill>
        </fill>
      </dxf>
    </rfmt>
    <rfmt sheetId="1" sqref="H122" start="0" length="0">
      <dxf>
        <fill>
          <patternFill patternType="solid">
            <bgColor theme="0"/>
          </patternFill>
        </fill>
      </dxf>
    </rfmt>
    <rfmt sheetId="1" sqref="I122" start="0" length="0">
      <dxf>
        <fill>
          <patternFill patternType="solid">
            <bgColor theme="0"/>
          </patternFill>
        </fill>
      </dxf>
    </rfmt>
    <rfmt sheetId="1" sqref="J122" start="0" length="0">
      <dxf>
        <fill>
          <patternFill patternType="solid">
            <bgColor theme="0"/>
          </patternFill>
        </fill>
      </dxf>
    </rfmt>
  </rrc>
  <rrc rId="5693" sId="1" ref="A122:XFD122" action="deleteRow">
    <undo index="0" exp="area" ref3D="1" dr="$A$278:$XFD$286" dn="Z_30E81E54_DD45_4653_9DCD_548F6723F554_.wvu.Rows" sId="1"/>
    <rfmt sheetId="1" xfDxf="1" sqref="A122:XFD122" start="0" length="0">
      <dxf>
        <font>
          <name val="Times New Roman"/>
          <scheme val="none"/>
        </font>
        <alignment vertical="center" readingOrder="0"/>
      </dxf>
    </rfmt>
    <rcc rId="0" sId="1" dxf="1">
      <nc r="A122" t="inlineStr">
        <is>
          <t>Субсидии бюджетным учреждениям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03 2 Е2 50970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>
        <v>610</v>
      </nc>
      <ndxf>
        <fill>
          <patternFill patternType="solid"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22">
        <f>D123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2">
        <f>E123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2">
        <f>F123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2" start="0" length="0">
      <dxf>
        <fill>
          <patternFill patternType="solid">
            <bgColor theme="0"/>
          </patternFill>
        </fill>
      </dxf>
    </rfmt>
    <rfmt sheetId="1" sqref="H122" start="0" length="0">
      <dxf>
        <fill>
          <patternFill patternType="solid">
            <bgColor theme="0"/>
          </patternFill>
        </fill>
      </dxf>
    </rfmt>
    <rfmt sheetId="1" sqref="I122" start="0" length="0">
      <dxf>
        <fill>
          <patternFill patternType="solid">
            <bgColor theme="0"/>
          </patternFill>
        </fill>
      </dxf>
    </rfmt>
    <rfmt sheetId="1" sqref="J122" start="0" length="0">
      <dxf>
        <fill>
          <patternFill patternType="solid">
            <bgColor theme="0"/>
          </patternFill>
        </fill>
      </dxf>
    </rfmt>
  </rrc>
  <rrc rId="5694" sId="1" ref="A122:XFD122" action="deleteRow">
    <undo index="0" exp="area" ref3D="1" dr="$A$277:$XFD$285" dn="Z_30E81E54_DD45_4653_9DCD_548F6723F554_.wvu.Rows" sId="1"/>
    <rfmt sheetId="1" xfDxf="1" sqref="A122:XFD122" start="0" length="0">
      <dxf>
        <font>
          <name val="Times New Roman"/>
          <scheme val="none"/>
        </font>
        <alignment vertical="center" readingOrder="0"/>
      </dxf>
    </rfmt>
    <rcc rId="0" sId="1" dxf="1">
      <nc r="A122" t="inlineStr">
        <is>
          <t>Субсидии бюджетным учреждениям на  иные цели</t>
        </is>
      </nc>
      <ndxf>
        <fill>
          <patternFill patternType="solid"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03 2 Е2 50970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>
        <v>612</v>
      </nc>
      <ndxf>
        <fill>
          <patternFill patternType="solid"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22">
        <v>0</v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22">
        <v>573789.04</v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22">
        <v>573789.04</v>
      </nc>
      <ndxf>
        <numFmt numFmtId="167" formatCode="_(* #,##0.00_);_(* \(#,##0.0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2" start="0" length="0">
      <dxf>
        <fill>
          <patternFill patternType="solid">
            <bgColor theme="0"/>
          </patternFill>
        </fill>
      </dxf>
    </rfmt>
    <rfmt sheetId="1" sqref="H122" start="0" length="0">
      <dxf>
        <fill>
          <patternFill patternType="solid">
            <bgColor theme="0"/>
          </patternFill>
        </fill>
      </dxf>
    </rfmt>
    <rfmt sheetId="1" sqref="I122" start="0" length="0">
      <dxf>
        <fill>
          <patternFill patternType="solid">
            <bgColor theme="0"/>
          </patternFill>
        </fill>
      </dxf>
    </rfmt>
    <rfmt sheetId="1" sqref="J122" start="0" length="0">
      <dxf>
        <fill>
          <patternFill patternType="solid">
            <bgColor theme="0"/>
          </patternFill>
        </fill>
      </dxf>
    </rfmt>
  </rrc>
  <rrc rId="5695" sId="1" ref="A122:XFD122" action="deleteRow">
    <undo index="0" exp="area" ref3D="1" dr="$A$276:$XFD$284" dn="Z_30E81E54_DD45_4653_9DCD_548F6723F554_.wvu.Rows" sId="1"/>
    <rfmt sheetId="1" xfDxf="1" sqref="A122:XFD12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22" t="inlineStr">
        <is>
    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    </is>
      </nc>
      <ndxf>
        <fill>
          <patternFill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22" t="inlineStr">
        <is>
          <t>03 2 E2 50981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ill>
          <patternFill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122">
        <f>D123</f>
      </nc>
      <n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2">
        <f>E123</f>
      </nc>
      <n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2">
        <f>F123</f>
      </nc>
      <n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2" start="0" length="0">
      <dxf>
        <fill>
          <patternFill>
            <bgColor theme="0"/>
          </patternFill>
        </fill>
      </dxf>
    </rfmt>
    <rfmt sheetId="1" sqref="H122" start="0" length="0">
      <dxf>
        <fill>
          <patternFill>
            <bgColor theme="0"/>
          </patternFill>
        </fill>
      </dxf>
    </rfmt>
    <rfmt sheetId="1" sqref="I122" start="0" length="0">
      <dxf>
        <fill>
          <patternFill>
            <bgColor theme="0"/>
          </patternFill>
        </fill>
      </dxf>
    </rfmt>
    <rfmt sheetId="1" sqref="J122" start="0" length="0">
      <dxf>
        <fill>
          <patternFill>
            <bgColor theme="0"/>
          </patternFill>
        </fill>
      </dxf>
    </rfmt>
  </rrc>
  <rrc rId="5696" sId="1" ref="A122:XFD122" action="deleteRow">
    <undo index="0" exp="area" ref3D="1" dr="$A$275:$XFD$283" dn="Z_30E81E54_DD45_4653_9DCD_548F6723F554_.wvu.Rows" sId="1"/>
    <rfmt sheetId="1" xfDxf="1" sqref="A122:XFD12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22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22" t="inlineStr">
        <is>
          <t>03 2 E2 50981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>
        <v>600</v>
      </nc>
      <ndxf>
        <fill>
          <patternFill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22">
        <f>D123</f>
      </nc>
      <n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2">
        <f>E123</f>
      </nc>
      <n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2">
        <f>F123</f>
      </nc>
      <n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2" start="0" length="0">
      <dxf>
        <fill>
          <patternFill>
            <bgColor theme="0"/>
          </patternFill>
        </fill>
      </dxf>
    </rfmt>
    <rfmt sheetId="1" sqref="H122" start="0" length="0">
      <dxf>
        <fill>
          <patternFill>
            <bgColor theme="0"/>
          </patternFill>
        </fill>
      </dxf>
    </rfmt>
    <rfmt sheetId="1" sqref="I122" start="0" length="0">
      <dxf>
        <fill>
          <patternFill>
            <bgColor theme="0"/>
          </patternFill>
        </fill>
      </dxf>
    </rfmt>
    <rfmt sheetId="1" sqref="J122" start="0" length="0">
      <dxf>
        <fill>
          <patternFill>
            <bgColor theme="0"/>
          </patternFill>
        </fill>
      </dxf>
    </rfmt>
  </rrc>
  <rrc rId="5697" sId="1" ref="A122:XFD122" action="deleteRow">
    <undo index="0" exp="area" ref3D="1" dr="$A$274:$XFD$282" dn="Z_30E81E54_DD45_4653_9DCD_548F6723F554_.wvu.Rows" sId="1"/>
    <rfmt sheetId="1" xfDxf="1" sqref="A122:XFD12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22" t="inlineStr">
        <is>
          <t>Субсидии бюджетным учреждениям</t>
        </is>
      </nc>
      <ndxf>
        <fill>
          <patternFill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22" t="inlineStr">
        <is>
          <t>03 2 E2 50981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>
        <v>610</v>
      </nc>
      <ndxf>
        <fill>
          <patternFill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22">
        <f>D123</f>
      </nc>
      <n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22">
        <f>E123</f>
      </nc>
      <n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22">
        <f>F123</f>
      </nc>
      <n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2" start="0" length="0">
      <dxf>
        <fill>
          <patternFill>
            <bgColor theme="0"/>
          </patternFill>
        </fill>
      </dxf>
    </rfmt>
    <rfmt sheetId="1" sqref="H122" start="0" length="0">
      <dxf>
        <fill>
          <patternFill>
            <bgColor theme="0"/>
          </patternFill>
        </fill>
      </dxf>
    </rfmt>
    <rfmt sheetId="1" sqref="I122" start="0" length="0">
      <dxf>
        <fill>
          <patternFill>
            <bgColor theme="0"/>
          </patternFill>
        </fill>
      </dxf>
    </rfmt>
    <rfmt sheetId="1" sqref="J122" start="0" length="0">
      <dxf>
        <fill>
          <patternFill>
            <bgColor theme="0"/>
          </patternFill>
        </fill>
      </dxf>
    </rfmt>
  </rrc>
  <rrc rId="5698" sId="1" ref="A122:XFD122" action="deleteRow">
    <undo index="0" exp="area" ref3D="1" dr="$A$273:$XFD$281" dn="Z_30E81E54_DD45_4653_9DCD_548F6723F554_.wvu.Rows" sId="1"/>
    <rfmt sheetId="1" xfDxf="1" sqref="A122:XFD122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22" t="inlineStr">
        <is>
          <t>Субсидии бюджетным учреждениям на  иные цели</t>
        </is>
      </nc>
      <ndxf>
        <fill>
          <patternFill>
            <bgColor rgb="FFFFFF0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22" t="inlineStr">
        <is>
          <t>03 2 E2 50981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>
        <v>612</v>
      </nc>
      <ndxf>
        <fill>
          <patternFill>
            <bgColor rgb="FFFFFF0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22">
        <v>1387489.8</v>
      </nc>
      <n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122" start="0" length="0">
      <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22" start="0" length="0">
      <dxf>
        <numFmt numFmtId="167" formatCode="_(* #,##0.00_);_(* \(#,##0.00\);_(* &quot;-&quot;??_);_(@_)"/>
        <fill>
          <patternFill>
            <bgColor rgb="FFFFFF0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ill>
          <patternFill>
            <bgColor theme="0"/>
          </patternFill>
        </fill>
      </dxf>
    </rfmt>
    <rfmt sheetId="1" sqref="H122" start="0" length="0">
      <dxf>
        <fill>
          <patternFill>
            <bgColor theme="0"/>
          </patternFill>
        </fill>
      </dxf>
    </rfmt>
    <rfmt sheetId="1" sqref="I122" start="0" length="0">
      <dxf>
        <fill>
          <patternFill>
            <bgColor theme="0"/>
          </patternFill>
        </fill>
      </dxf>
    </rfmt>
    <rfmt sheetId="1" sqref="J122" start="0" length="0">
      <dxf>
        <fill>
          <patternFill>
            <bgColor theme="0"/>
          </patternFill>
        </fill>
      </dxf>
    </rfmt>
  </rrc>
  <rcc rId="5699" sId="1">
    <oc r="A122" t="inlineStr">
      <is>
        <t>Мероприятия в рамках Федерального проекта "Патриотическое воспитание граждан Российской Федерации"</t>
      </is>
    </oc>
    <nc r="A122" t="inlineStr">
      <is>
        <t>Мероприятия в рамках Федерального проекта «Педагоги и наставники»</t>
      </is>
    </nc>
  </rcc>
  <rcc rId="5700" sId="1">
    <oc r="B122" t="inlineStr">
      <is>
        <t>03 2 EВ 00000</t>
      </is>
    </oc>
    <nc r="B122" t="inlineStr">
      <is>
        <t>03 2 Ю6 00000</t>
      </is>
    </nc>
  </rcc>
  <rcc rId="5701" sId="1">
    <oc r="B123" t="inlineStr">
      <is>
        <t>03 2 EВ 51792</t>
      </is>
    </oc>
    <nc r="B123" t="inlineStr">
      <is>
        <t>03 2 Ю6 51792</t>
      </is>
    </nc>
  </rcc>
  <rcc rId="5702" sId="1">
    <oc r="B124" t="inlineStr">
      <is>
        <t>03 2 EВ 51792</t>
      </is>
    </oc>
    <nc r="B124" t="inlineStr">
      <is>
        <t>03 2 Ю6 51792</t>
      </is>
    </nc>
  </rcc>
  <rcc rId="5703" sId="1">
    <oc r="B125" t="inlineStr">
      <is>
        <t>03 2 EВ 51792</t>
      </is>
    </oc>
    <nc r="B125" t="inlineStr">
      <is>
        <t>03 2 Ю6 51792</t>
      </is>
    </nc>
  </rcc>
  <rcc rId="5704" sId="1">
    <oc r="B126" t="inlineStr">
      <is>
        <t>03 2 EВ 51792</t>
      </is>
    </oc>
    <nc r="B126" t="inlineStr">
      <is>
        <t>03 2 Ю6 51792</t>
      </is>
    </nc>
  </rcc>
  <rcc rId="5705" sId="1" numFmtId="34">
    <oc r="D126">
      <v>4396968.58</v>
    </oc>
    <nc r="D126">
      <v>4443457.79</v>
    </nc>
  </rcc>
  <rcc rId="5706" sId="1" numFmtId="34">
    <oc r="E126">
      <v>4396968.58</v>
    </oc>
    <nc r="E126">
      <v>5315495.72</v>
    </nc>
  </rcc>
  <rrc rId="5707" sId="1" ref="A114:XFD114" action="deleteRow">
    <undo index="0" exp="ref" v="1" dr="F114" r="F113" sId="1"/>
    <undo index="0" exp="ref" v="1" dr="E114" r="E113" sId="1"/>
    <undo index="0" exp="ref" v="1" dr="D114" r="D113" sId="1"/>
    <undo index="0" exp="area" ref3D="1" dr="$A$272:$XFD$280" dn="Z_30E81E54_DD45_4653_9DCD_548F6723F554_.wvu.Rows" sId="1"/>
    <rfmt sheetId="1" xfDxf="1" sqref="A114:XFD114" start="0" length="0">
      <dxf>
        <font>
          <name val="Times New Roman"/>
          <scheme val="none"/>
        </font>
        <alignment vertical="center" readingOrder="0"/>
      </dxf>
    </rfmt>
    <rcc rId="0" sId="1" dxf="1">
      <nc r="A114" t="inlineStr">
        <is>
          <t>Создание новых мест в общеобразовательных организациях, расположенных в сельской местности и поселках городского типа</t>
        </is>
      </nc>
      <ndxf>
        <font>
          <color indexed="8"/>
          <name val="Times New Roman Cyr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14" t="inlineStr">
        <is>
          <t>03 2 Е1 52301</t>
        </is>
      </nc>
      <n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114">
        <f>D115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4">
        <f>E115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4">
        <f>F115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ill>
          <patternFill patternType="solid">
            <bgColor theme="0"/>
          </patternFill>
        </fill>
      </dxf>
    </rfmt>
    <rfmt sheetId="1" sqref="H114" start="0" length="0">
      <dxf>
        <fill>
          <patternFill patternType="solid">
            <bgColor theme="0"/>
          </patternFill>
        </fill>
      </dxf>
    </rfmt>
    <rfmt sheetId="1" sqref="I114" start="0" length="0">
      <dxf>
        <fill>
          <patternFill patternType="solid">
            <bgColor theme="0"/>
          </patternFill>
        </fill>
      </dxf>
    </rfmt>
    <rfmt sheetId="1" sqref="J114" start="0" length="0">
      <dxf>
        <fill>
          <patternFill patternType="solid">
            <bgColor theme="0"/>
          </patternFill>
        </fill>
      </dxf>
    </rfmt>
  </rrc>
  <rrc rId="5708" sId="1" ref="A114:XFD114" action="deleteRow">
    <undo index="0" exp="area" ref3D="1" dr="$A$271:$XFD$279" dn="Z_30E81E54_DD45_4653_9DCD_548F6723F554_.wvu.Rows" sId="1"/>
    <rfmt sheetId="1" xfDxf="1" sqref="A114:XFD114" start="0" length="0">
      <dxf>
        <font>
          <name val="Times New Roman"/>
          <scheme val="none"/>
        </font>
        <alignment vertical="center" readingOrder="0"/>
      </dxf>
    </rfmt>
    <rcc rId="0" sId="1" dxf="1">
      <nc r="A114" t="inlineStr">
        <is>
          <t>Капитальные вложения в объекты государственной (муниципальной) собственности</t>
        </is>
      </nc>
      <n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14" t="inlineStr">
        <is>
          <t>03 2 Е1 52301</t>
        </is>
      </nc>
      <n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14">
        <v>400</v>
      </nc>
      <n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114">
        <f>D115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4">
        <f>E115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4">
        <f>F115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ill>
          <patternFill patternType="solid">
            <bgColor theme="0"/>
          </patternFill>
        </fill>
      </dxf>
    </rfmt>
    <rfmt sheetId="1" sqref="H114" start="0" length="0">
      <dxf>
        <fill>
          <patternFill patternType="solid">
            <bgColor theme="0"/>
          </patternFill>
        </fill>
      </dxf>
    </rfmt>
    <rfmt sheetId="1" sqref="I114" start="0" length="0">
      <dxf>
        <fill>
          <patternFill patternType="solid">
            <bgColor theme="0"/>
          </patternFill>
        </fill>
      </dxf>
    </rfmt>
    <rfmt sheetId="1" sqref="J114" start="0" length="0">
      <dxf>
        <fill>
          <patternFill patternType="solid">
            <bgColor theme="0"/>
          </patternFill>
        </fill>
      </dxf>
    </rfmt>
  </rrc>
  <rrc rId="5709" sId="1" ref="A114:XFD114" action="deleteRow">
    <undo index="0" exp="area" ref3D="1" dr="$A$270:$XFD$278" dn="Z_30E81E54_DD45_4653_9DCD_548F6723F554_.wvu.Rows" sId="1"/>
    <rfmt sheetId="1" xfDxf="1" sqref="A114:XFD114" start="0" length="0">
      <dxf>
        <font>
          <name val="Times New Roman"/>
          <scheme val="none"/>
        </font>
        <alignment vertical="center" readingOrder="0"/>
      </dxf>
    </rfmt>
    <rcc rId="0" sId="1" dxf="1">
      <nc r="A114" t="inlineStr">
        <is>
          <t>Бюджетные инвестиции</t>
        </is>
      </nc>
      <n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14" t="inlineStr">
        <is>
          <t>03 2 Е1 52301</t>
        </is>
      </nc>
      <n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14">
        <v>410</v>
      </nc>
      <n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114">
        <f>D115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4">
        <f>E115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4">
        <f>F115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ill>
          <patternFill patternType="solid">
            <bgColor theme="0"/>
          </patternFill>
        </fill>
      </dxf>
    </rfmt>
    <rfmt sheetId="1" sqref="H114" start="0" length="0">
      <dxf>
        <fill>
          <patternFill patternType="solid">
            <bgColor theme="0"/>
          </patternFill>
        </fill>
      </dxf>
    </rfmt>
    <rfmt sheetId="1" sqref="I114" start="0" length="0">
      <dxf>
        <fill>
          <patternFill patternType="solid">
            <bgColor theme="0"/>
          </patternFill>
        </fill>
      </dxf>
    </rfmt>
    <rfmt sheetId="1" sqref="J114" start="0" length="0">
      <dxf>
        <fill>
          <patternFill patternType="solid">
            <bgColor theme="0"/>
          </patternFill>
        </fill>
      </dxf>
    </rfmt>
  </rrc>
  <rrc rId="5710" sId="1" ref="A114:XFD114" action="deleteRow">
    <undo index="0" exp="area" ref3D="1" dr="$A$269:$XFD$277" dn="Z_30E81E54_DD45_4653_9DCD_548F6723F554_.wvu.Rows" sId="1"/>
    <rfmt sheetId="1" xfDxf="1" sqref="A114:XFD114" start="0" length="0">
      <dxf>
        <font>
          <name val="Times New Roman"/>
          <scheme val="none"/>
        </font>
        <alignment vertical="center" readingOrder="0"/>
      </dxf>
    </rfmt>
    <rcc rId="0" sId="1" dxf="1">
      <nc r="A114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14" t="inlineStr">
        <is>
          <t>03 2 Е1 52301</t>
        </is>
      </nc>
      <n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14">
        <v>414</v>
      </nc>
      <ndxf>
        <font>
          <name val="Times New Roman Cyr"/>
          <scheme val="none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114">
        <f>84058.34-56700.84</f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14">
        <v>172103.03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14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ill>
          <patternFill patternType="solid">
            <bgColor theme="0"/>
          </patternFill>
        </fill>
      </dxf>
    </rfmt>
    <rfmt sheetId="1" sqref="H114" start="0" length="0">
      <dxf>
        <fill>
          <patternFill patternType="solid">
            <bgColor theme="0"/>
          </patternFill>
        </fill>
      </dxf>
    </rfmt>
    <rfmt sheetId="1" sqref="I114" start="0" length="0">
      <dxf>
        <fill>
          <patternFill patternType="solid">
            <bgColor theme="0"/>
          </patternFill>
        </fill>
      </dxf>
    </rfmt>
    <rfmt sheetId="1" sqref="J114" start="0" length="0">
      <dxf>
        <fill>
          <patternFill patternType="solid">
            <bgColor theme="0"/>
          </patternFill>
        </fill>
      </dxf>
    </rfmt>
  </rrc>
  <rcc rId="5711" sId="1" odxf="1" dxf="1">
    <oc r="B115" t="inlineStr">
      <is>
        <t>03 2 Е1 S2301</t>
      </is>
    </oc>
    <nc r="B115" t="inlineStr">
      <is>
        <t>03 2 00 80450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5712" sId="1" odxf="1" dxf="1">
    <oc r="B116" t="inlineStr">
      <is>
        <t>03 2 Е1 S2301</t>
      </is>
    </oc>
    <nc r="B116" t="inlineStr">
      <is>
        <t>03 2 00 80450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5713" sId="1" odxf="1" dxf="1">
    <oc r="B117" t="inlineStr">
      <is>
        <t>03 2 Е1 S2301</t>
      </is>
    </oc>
    <nc r="B117" t="inlineStr">
      <is>
        <t>03 2 00 80450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D117" start="0" length="0">
    <dxf>
      <fill>
        <patternFill patternType="none">
          <bgColor indexed="65"/>
        </patternFill>
      </fill>
    </dxf>
  </rfmt>
  <rcc rId="5714" sId="1" numFmtId="34">
    <oc r="E117">
      <v>369703.92</v>
    </oc>
    <nc r="E117">
      <v>0</v>
    </nc>
  </rcc>
  <rcc rId="5715" sId="1" odxf="1" dxf="1">
    <oc r="B114" t="inlineStr">
      <is>
        <t>03 2 Е1 S2301</t>
      </is>
    </oc>
    <nc r="B114" t="inlineStr">
      <is>
        <t>03 2 00 80450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5716" sId="1" odxf="1" dxf="1">
    <oc r="A114" t="inlineStr">
      <is>
        <t>Создание новых мест в общеобразовательных организациях, расположенных в сельской местности и поселках городского типа</t>
      </is>
    </oc>
    <nc r="A114" t="inlineStr">
      <is>
        <t>Мероприятия в области образования</t>
      </is>
    </nc>
    <odxf>
      <font>
        <color indexed="8"/>
        <name val="Times New Roman Cyr"/>
        <scheme val="none"/>
      </font>
      <fill>
        <patternFill patternType="solid">
          <bgColor rgb="FFFFFF00"/>
        </patternFill>
      </fill>
    </odxf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5717" sId="1">
    <oc r="D113">
      <f>#REF!+D114</f>
    </oc>
    <nc r="D113">
      <f>D114</f>
    </nc>
  </rcc>
  <rcc rId="5718" sId="1">
    <oc r="E113">
      <f>#REF!+E114</f>
    </oc>
    <nc r="E113">
      <f>E114</f>
    </nc>
  </rcc>
  <rcc rId="5719" sId="1">
    <oc r="F113">
      <f>#REF!+F114</f>
    </oc>
    <nc r="F113">
      <f>F114</f>
    </nc>
  </rcc>
  <rcc rId="5720" sId="1" odxf="1" dxf="1" numFmtId="34">
    <oc r="D117">
      <f>26819445.58+6672754.28</f>
    </oc>
    <nc r="D117">
      <v>884950.51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fmt sheetId="1" sqref="D126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E126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F126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cc rId="5721" sId="1" odxf="1" dxf="1" numFmtId="34">
    <oc r="D126">
      <v>177811.65</v>
    </oc>
    <nc r="D126">
      <v>83312.95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722" sId="1" odxf="1" dxf="1" numFmtId="34">
    <oc r="E126">
      <v>179324.98</v>
    </oc>
    <nc r="E126">
      <v>140000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723" sId="1" odxf="1" dxf="1" numFmtId="34">
    <oc r="F126">
      <v>194522.62</v>
    </oc>
    <nc r="F126">
      <v>140000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fmt sheetId="1" sqref="D130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E130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F130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cc rId="5724" sId="1" odxf="1" dxf="1" numFmtId="34">
    <oc r="D130">
      <v>22342874.969999999</v>
    </oc>
    <nc r="D130">
      <v>25802139.920000002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725" sId="1" odxf="1" dxf="1" numFmtId="34">
    <oc r="E130">
      <v>24437441.52</v>
    </oc>
    <nc r="E130">
      <v>22270154.849999998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726" sId="1" odxf="1" dxf="1" numFmtId="34">
    <oc r="F130">
      <v>22550792.98</v>
    </oc>
    <nc r="F130">
      <v>20858918.920000002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727" sId="1">
    <oc r="D62">
      <f>D76+D80+D96+D101+D147+D151+D112+D120+D133+D124+D116+D88+D108+D142+D84+D68+D92+D72+D63</f>
    </oc>
    <nc r="D62">
      <f>D76+D80+D92+D97+D123+D127+D101+D109+D113+D105+D118+D84+D67+D88+D72+D63</f>
    </nc>
  </rcc>
  <rcc rId="5728" sId="1">
    <oc r="E62">
      <f>E76+E80+E96+E101+E147+E151+E112+E120+E133+E124+E116+E88+E108+E142+E84+E68+E92+E72+E63</f>
    </oc>
    <nc r="E62">
      <f>E76+E80+E92+E97+E123+E127+E101+E109+E113+E105+E118+E84+E67+E88+E72+E63</f>
    </nc>
  </rcc>
  <rcc rId="5729" sId="1">
    <oc r="F62">
      <f>F76+F80+F96+F101+F147+F151+F112+F120+F133+F124+F116+F88+F108+F142+F84+F68+F92+F72+F63</f>
    </oc>
    <nc r="F62">
      <f>F76+F80+F92+F97+F123+F127+F101+F109+F113+F105+F118+F84+F67+F88+F72+F63</f>
    </nc>
  </rcc>
  <rfmt sheetId="1" sqref="D139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E139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F139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cc rId="5730" sId="1" odxf="1" dxf="1" numFmtId="34">
    <oc r="D139">
      <v>4953700</v>
    </oc>
    <nc r="D139">
      <v>5401485.8700000001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731" sId="1" odxf="1" dxf="1" numFmtId="34">
    <oc r="E139">
      <v>4600000</v>
    </oc>
    <nc r="E139">
      <v>5336668.03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732" sId="1" odxf="1" dxf="1" numFmtId="34">
    <oc r="F139">
      <v>4600000</v>
    </oc>
    <nc r="F139">
      <v>5550134.7400000002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rc rId="5733" sId="1" ref="A143:XFD143" action="deleteRow">
    <undo index="0" exp="ref" v="1" dr="F143" r="F142" sId="1"/>
    <undo index="0" exp="ref" v="1" dr="E143" r="E142" sId="1"/>
    <undo index="0" exp="ref" v="1" dr="D143" r="D142" sId="1"/>
    <undo index="0" exp="area" ref3D="1" dr="$A$268:$XFD$276" dn="Z_30E81E54_DD45_4653_9DCD_548F6723F554_.wvu.Rows" sId="1"/>
    <rfmt sheetId="1" xfDxf="1" sqref="A143:XFD143" start="0" length="0">
      <dxf>
        <font>
          <name val="Times New Roman"/>
          <scheme val="none"/>
        </font>
        <alignment vertical="center" readingOrder="0"/>
      </dxf>
    </rfmt>
    <rcc rId="0" sId="1" dxf="1">
      <nc r="A14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numFmt numFmtId="30" formatCode="@"/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3" t="inlineStr">
        <is>
          <t>03 3 00 Л8620</t>
        </is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143">
        <v>611</v>
      </nc>
      <ndxf>
        <numFmt numFmtId="166" formatCode="_(* #,##0_);_(* \(#,##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43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43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43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3" start="0" length="0">
      <dxf>
        <fill>
          <patternFill patternType="solid">
            <bgColor theme="0"/>
          </patternFill>
        </fill>
      </dxf>
    </rfmt>
    <rfmt sheetId="1" sqref="H143" start="0" length="0">
      <dxf>
        <fill>
          <patternFill patternType="solid">
            <bgColor theme="0"/>
          </patternFill>
        </fill>
      </dxf>
    </rfmt>
    <rfmt sheetId="1" sqref="I143" start="0" length="0">
      <dxf>
        <fill>
          <patternFill patternType="solid">
            <bgColor theme="0"/>
          </patternFill>
        </fill>
      </dxf>
    </rfmt>
    <rfmt sheetId="1" sqref="J143" start="0" length="0">
      <dxf>
        <fill>
          <patternFill patternType="solid">
            <bgColor theme="0"/>
          </patternFill>
        </fill>
      </dxf>
    </rfmt>
  </rrc>
  <rcc rId="5734" sId="1">
    <oc r="D142">
      <f>#REF!+D143</f>
    </oc>
    <nc r="D142">
      <f>D143</f>
    </nc>
  </rcc>
  <rcc rId="5735" sId="1">
    <oc r="E142">
      <f>#REF!+E143</f>
    </oc>
    <nc r="E142">
      <f>E143</f>
    </nc>
  </rcc>
  <rcc rId="5736" sId="1">
    <oc r="F142">
      <f>#REF!+F143</f>
    </oc>
    <nc r="F142">
      <f>F143</f>
    </nc>
  </rcc>
  <rfmt sheetId="1" sqref="D143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E143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fmt sheetId="1" sqref="F143" start="0" length="0">
    <dxf>
      <numFmt numFmtId="167" formatCode="_(* #,##0.00_);_(* \(#,##0.00\);_(* &quot;-&quot;??_);_(@_)"/>
      <fill>
        <patternFill patternType="none">
          <bgColor indexed="65"/>
        </patternFill>
      </fill>
      <alignment horizontal="center" readingOrder="0"/>
    </dxf>
  </rfmt>
  <rcc rId="5737" sId="1" odxf="1" dxf="1" numFmtId="34">
    <oc r="D143">
      <v>83725468</v>
    </oc>
    <nc r="D143">
      <v>87471058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738" sId="1" odxf="1" dxf="1" numFmtId="34">
    <oc r="E143">
      <v>93470621</v>
    </oc>
    <nc r="E143">
      <v>94633270.120000005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cc rId="5739" sId="1" odxf="1" dxf="1" numFmtId="34">
    <oc r="F143">
      <v>93511032</v>
    </oc>
    <nc r="F143">
      <v>98599243.260000005</v>
    </nc>
    <ndxf>
      <numFmt numFmtId="164" formatCode="_-* #,##0.00_р_._-;\-* #,##0.00_р_._-;_-* &quot;-&quot;??_р_._-;_-@_-"/>
      <fill>
        <patternFill patternType="solid">
          <bgColor rgb="FFFFFF00"/>
        </patternFill>
      </fill>
      <alignment horizontal="general" readingOrder="0"/>
    </ndxf>
  </rcc>
  <rrc rId="5740" sId="1" ref="A147:XFD147" action="deleteRow">
    <undo index="0" exp="ref" v="1" dr="F147" r="F146" sId="1"/>
    <undo index="0" exp="ref" v="1" dr="E147" r="E146" sId="1"/>
    <undo index="0" exp="ref" v="1" dr="D147" r="D146" sId="1"/>
    <undo index="0" exp="area" ref3D="1" dr="$A$267:$XFD$275" dn="Z_30E81E54_DD45_4653_9DCD_548F6723F554_.wvu.Rows" sId="1"/>
    <rfmt sheetId="1" xfDxf="1" sqref="A147:XFD147" start="0" length="0">
      <dxf>
        <font>
          <name val="Times New Roman"/>
          <scheme val="none"/>
        </font>
        <alignment vertical="center" readingOrder="0"/>
      </dxf>
    </rfmt>
    <rcc rId="0" sId="1" dxf="1">
      <nc r="A14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numFmt numFmtId="30" formatCode="@"/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147" t="inlineStr">
        <is>
          <t>03 3 00 80100</t>
        </is>
      </nc>
      <ndxf>
        <numFmt numFmtId="165" formatCode="_(* #,##0.0_);_(* \(#,##0.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147">
        <v>611</v>
      </nc>
      <ndxf>
        <numFmt numFmtId="166" formatCode="_(* #,##0_);_(* \(#,##0\);_(* &quot;-&quot;??_);_(@_)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47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47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47">
        <v>0</v>
      </nc>
      <ndxf>
        <numFmt numFmtId="164" formatCode="_-* #,##0.00_р_._-;\-* #,##0.00_р_._-;_-* &quot;-&quot;??_р_._-;_-@_-"/>
        <fill>
          <patternFill patternType="solid"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7" start="0" length="0">
      <dxf>
        <fill>
          <patternFill patternType="solid">
            <bgColor theme="0"/>
          </patternFill>
        </fill>
      </dxf>
    </rfmt>
    <rfmt sheetId="1" sqref="H147" start="0" length="0">
      <dxf>
        <fill>
          <patternFill patternType="solid">
            <bgColor theme="0"/>
          </patternFill>
        </fill>
      </dxf>
    </rfmt>
    <rfmt sheetId="1" sqref="I147" start="0" length="0">
      <dxf>
        <fill>
          <patternFill patternType="solid">
            <bgColor theme="0"/>
          </patternFill>
        </fill>
      </dxf>
    </rfmt>
    <rfmt sheetId="1" sqref="J147" start="0" length="0">
      <dxf>
        <fill>
          <patternFill patternType="solid">
            <bgColor theme="0"/>
          </patternFill>
        </fill>
      </dxf>
    </rfmt>
  </rrc>
  <rcc rId="5741" sId="1">
    <oc r="D146">
      <f>#REF!+D147</f>
    </oc>
    <nc r="D146">
      <f>D147</f>
    </nc>
  </rcc>
  <rcc rId="5742" sId="1">
    <oc r="E146">
      <f>#REF!+E147</f>
    </oc>
    <nc r="E146">
      <f>E147</f>
    </nc>
  </rcc>
  <rcc rId="5743" sId="1">
    <oc r="F146">
      <f>#REF!+F147</f>
    </oc>
    <nc r="F146">
      <f>F147</f>
    </nc>
  </rcc>
  <rcc rId="5744" sId="1" numFmtId="34">
    <oc r="D147">
      <v>16823745.359999999</v>
    </oc>
    <nc r="D147">
      <v>20281307.41</v>
    </nc>
  </rcc>
  <rcc rId="5745" sId="1" numFmtId="34">
    <oc r="E147">
      <v>8536162.9800000004</v>
    </oc>
    <nc r="E147">
      <v>23523159.02</v>
    </nc>
  </rcc>
  <rcc rId="5746" sId="1" numFmtId="34">
    <oc r="F147">
      <v>8704511.8300000001</v>
    </oc>
    <nc r="F147">
      <v>23563843.73</v>
    </nc>
  </rcc>
  <rrc rId="5747" sId="1" ref="A148:XFD148" action="deleteRow">
    <undo index="7" exp="ref" v="1" dr="F148" r="F131" sId="1"/>
    <undo index="7" exp="ref" v="1" dr="E148" r="E131" sId="1"/>
    <undo index="7" exp="ref" v="1" dr="D148" r="D131" sId="1"/>
    <undo index="0" exp="area" ref3D="1" dr="$A$266:$XFD$274" dn="Z_30E81E54_DD45_4653_9DCD_548F6723F554_.wvu.Rows" sId="1"/>
    <rfmt sheetId="1" xfDxf="1" sqref="A148:XFD14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48" t="inlineStr">
        <is>
          <t>Мероприятия в рамках Федерального проекта "Успех каждого ребенка"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03 3 E2 00000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8" start="0" length="0">
      <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148">
        <f>D149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8">
        <f>E149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8">
        <f>F149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8" start="0" length="0">
      <dxf>
        <fill>
          <patternFill>
            <bgColor theme="0"/>
          </patternFill>
        </fill>
      </dxf>
    </rfmt>
    <rfmt sheetId="1" sqref="H148" start="0" length="0">
      <dxf>
        <fill>
          <patternFill>
            <bgColor theme="0"/>
          </patternFill>
        </fill>
      </dxf>
    </rfmt>
    <rfmt sheetId="1" sqref="I148" start="0" length="0">
      <dxf>
        <fill>
          <patternFill>
            <bgColor theme="0"/>
          </patternFill>
        </fill>
      </dxf>
    </rfmt>
    <rfmt sheetId="1" sqref="J148" start="0" length="0">
      <dxf>
        <fill>
          <patternFill>
            <bgColor theme="0"/>
          </patternFill>
        </fill>
      </dxf>
    </rfmt>
  </rrc>
  <rrc rId="5748" sId="1" ref="A148:XFD148" action="deleteRow">
    <undo index="0" exp="area" ref3D="1" dr="$A$265:$XFD$273" dn="Z_30E81E54_DD45_4653_9DCD_548F6723F554_.wvu.Rows" sId="1"/>
    <rfmt sheetId="1" xfDxf="1" sqref="A148:XFD14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48" t="inlineStr">
        <is>
      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организациях.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03 3 E2 51712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8" start="0" length="0">
      <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148">
        <f>D149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8">
        <f>E149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8">
        <f>F149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8" start="0" length="0">
      <dxf>
        <fill>
          <patternFill>
            <bgColor theme="0"/>
          </patternFill>
        </fill>
      </dxf>
    </rfmt>
    <rfmt sheetId="1" sqref="H148" start="0" length="0">
      <dxf>
        <fill>
          <patternFill>
            <bgColor theme="0"/>
          </patternFill>
        </fill>
      </dxf>
    </rfmt>
    <rfmt sheetId="1" sqref="I148" start="0" length="0">
      <dxf>
        <fill>
          <patternFill>
            <bgColor theme="0"/>
          </patternFill>
        </fill>
      </dxf>
    </rfmt>
    <rfmt sheetId="1" sqref="J148" start="0" length="0">
      <dxf>
        <fill>
          <patternFill>
            <bgColor theme="0"/>
          </patternFill>
        </fill>
      </dxf>
    </rfmt>
  </rrc>
  <rrc rId="5749" sId="1" ref="A148:XFD148" action="deleteRow">
    <undo index="0" exp="area" ref3D="1" dr="$A$264:$XFD$272" dn="Z_30E81E54_DD45_4653_9DCD_548F6723F554_.wvu.Rows" sId="1"/>
    <rfmt sheetId="1" xfDxf="1" sqref="A148:XFD14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48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03 3 E2 51712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8">
        <v>600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48">
        <f>D149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8">
        <f>E149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8">
        <f>F149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8" start="0" length="0">
      <dxf>
        <fill>
          <patternFill>
            <bgColor theme="0"/>
          </patternFill>
        </fill>
      </dxf>
    </rfmt>
    <rfmt sheetId="1" sqref="H148" start="0" length="0">
      <dxf>
        <fill>
          <patternFill>
            <bgColor theme="0"/>
          </patternFill>
        </fill>
      </dxf>
    </rfmt>
    <rfmt sheetId="1" sqref="I148" start="0" length="0">
      <dxf>
        <fill>
          <patternFill>
            <bgColor theme="0"/>
          </patternFill>
        </fill>
      </dxf>
    </rfmt>
    <rfmt sheetId="1" sqref="J148" start="0" length="0">
      <dxf>
        <fill>
          <patternFill>
            <bgColor theme="0"/>
          </patternFill>
        </fill>
      </dxf>
    </rfmt>
  </rrc>
  <rrc rId="5750" sId="1" ref="A148:XFD148" action="deleteRow">
    <undo index="0" exp="area" ref3D="1" dr="$A$263:$XFD$271" dn="Z_30E81E54_DD45_4653_9DCD_548F6723F554_.wvu.Rows" sId="1"/>
    <rfmt sheetId="1" xfDxf="1" sqref="A148:XFD14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48" t="inlineStr">
        <is>
          <t>Субсидии бюджетным учреждениям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03 3 E2 51712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8">
        <v>610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48">
        <f>D149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48">
        <f>E149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48">
        <f>F149</f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8" start="0" length="0">
      <dxf>
        <fill>
          <patternFill>
            <bgColor theme="0"/>
          </patternFill>
        </fill>
      </dxf>
    </rfmt>
    <rfmt sheetId="1" sqref="H148" start="0" length="0">
      <dxf>
        <fill>
          <patternFill>
            <bgColor theme="0"/>
          </patternFill>
        </fill>
      </dxf>
    </rfmt>
    <rfmt sheetId="1" sqref="I148" start="0" length="0">
      <dxf>
        <fill>
          <patternFill>
            <bgColor theme="0"/>
          </patternFill>
        </fill>
      </dxf>
    </rfmt>
    <rfmt sheetId="1" sqref="J148" start="0" length="0">
      <dxf>
        <fill>
          <patternFill>
            <bgColor theme="0"/>
          </patternFill>
        </fill>
      </dxf>
    </rfmt>
  </rrc>
  <rrc rId="5751" sId="1" ref="A148:XFD148" action="deleteRow">
    <undo index="0" exp="area" ref3D="1" dr="$A$262:$XFD$270" dn="Z_30E81E54_DD45_4653_9DCD_548F6723F554_.wvu.Rows" sId="1"/>
    <rfmt sheetId="1" xfDxf="1" sqref="A148:XFD148" start="0" length="0">
      <dxf>
        <font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48" t="inlineStr">
        <is>
          <t>Субсидии бюджетным учреждениям на иные цели</t>
        </is>
      </nc>
      <ndxf>
        <fill>
          <patternFill>
            <bgColor rgb="FFFFFF0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03 3 E2 51712</t>
        </is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8">
        <v>612</v>
      </nc>
      <ndxf>
        <fill>
          <patternFill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48">
        <v>1080363.29</v>
      </nc>
      <n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148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48" start="0" length="0">
      <dxf>
        <numFmt numFmtId="164" formatCode="_-* #,##0.00_р_._-;\-* #,##0.00_р_._-;_-* &quot;-&quot;??_р_._-;_-@_-"/>
        <fill>
          <patternFill>
            <bgColor rgb="FFFFFF0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8" start="0" length="0">
      <dxf>
        <fill>
          <patternFill>
            <bgColor theme="0"/>
          </patternFill>
        </fill>
      </dxf>
    </rfmt>
    <rfmt sheetId="1" sqref="H148" start="0" length="0">
      <dxf>
        <fill>
          <patternFill>
            <bgColor theme="0"/>
          </patternFill>
        </fill>
      </dxf>
    </rfmt>
    <rfmt sheetId="1" sqref="I148" start="0" length="0">
      <dxf>
        <fill>
          <patternFill>
            <bgColor theme="0"/>
          </patternFill>
        </fill>
      </dxf>
    </rfmt>
    <rfmt sheetId="1" sqref="J148" start="0" length="0">
      <dxf>
        <fill>
          <patternFill>
            <bgColor theme="0"/>
          </patternFill>
        </fill>
      </dxf>
    </rfmt>
  </rrc>
  <rcc rId="5752" sId="1" numFmtId="34">
    <oc r="D152">
      <v>34114530</v>
    </oc>
    <nc r="D152">
      <v>31273717</v>
    </nc>
  </rcc>
  <rcc rId="5753" sId="1" numFmtId="34">
    <oc r="E152">
      <v>33885060</v>
    </oc>
    <nc r="E152">
      <v>31807162.879999999</v>
    </nc>
  </rcc>
  <rcc rId="5754" sId="1" numFmtId="34">
    <oc r="F152">
      <v>33677095</v>
    </oc>
    <nc r="F152">
      <v>31625039.739999998</v>
    </nc>
  </rcc>
  <rcc rId="5755" sId="1" numFmtId="34">
    <oc r="D156">
      <v>5674106</v>
    </oc>
    <nc r="D156">
      <v>6986274.4400000004</v>
    </nc>
  </rcc>
  <rcc rId="5756" sId="1" numFmtId="34">
    <oc r="E156">
      <v>7734792</v>
    </oc>
    <nc r="E156">
      <v>7105441.5700000003</v>
    </nc>
  </rcc>
  <rcc rId="5757" sId="1" numFmtId="34">
    <oc r="F156">
      <v>7707130</v>
    </oc>
    <nc r="F156">
      <v>7064756.8600000003</v>
    </nc>
  </rcc>
  <rcc rId="5758" sId="1" numFmtId="34">
    <oc r="D157">
      <v>207822</v>
    </oc>
    <nc r="D157">
      <v>193200</v>
    </nc>
  </rcc>
  <rcc rId="5759" sId="1" numFmtId="34">
    <oc r="E157">
      <v>206423</v>
    </oc>
    <nc r="E157">
      <v>196500</v>
    </nc>
  </rcc>
  <rcc rId="5760" sId="1" numFmtId="34">
    <oc r="F157">
      <v>205157</v>
    </oc>
    <nc r="F157">
      <v>195400</v>
    </nc>
  </rcc>
  <rcc rId="5761" sId="1" numFmtId="34">
    <oc r="D159">
      <v>207821</v>
    </oc>
    <nc r="D159">
      <v>193200</v>
    </nc>
  </rcc>
  <rcc rId="5762" sId="1" numFmtId="34">
    <oc r="E159">
      <v>206423</v>
    </oc>
    <nc r="E159">
      <v>196500</v>
    </nc>
  </rcc>
  <rcc rId="5763" sId="1" numFmtId="34">
    <oc r="F159">
      <v>205157</v>
    </oc>
    <nc r="F159">
      <v>195400</v>
    </nc>
  </rcc>
  <rcc rId="5764" sId="1" numFmtId="34">
    <oc r="D161">
      <v>207821</v>
    </oc>
    <nc r="D161">
      <v>193200</v>
    </nc>
  </rcc>
  <rcc rId="5765" sId="1" numFmtId="34">
    <oc r="E161">
      <v>206423</v>
    </oc>
    <nc r="E161">
      <v>196500</v>
    </nc>
  </rcc>
  <rcc rId="5766" sId="1" numFmtId="34">
    <oc r="F161">
      <v>205156</v>
    </oc>
    <nc r="F161">
      <v>195400</v>
    </nc>
  </rcc>
  <rcc rId="5767" sId="1" numFmtId="34">
    <oc r="D164">
      <v>202720</v>
    </oc>
    <nc r="D164">
      <v>193498.56</v>
    </nc>
  </rcc>
  <rcc rId="5768" sId="1" numFmtId="34">
    <oc r="E164">
      <v>244938</v>
    </oc>
    <nc r="E164">
      <v>196785.55</v>
    </nc>
  </rcc>
  <rcc rId="5769" sId="1" numFmtId="34">
    <oc r="F164">
      <v>243845</v>
    </oc>
    <nc r="F164">
      <v>195583.4</v>
    </nc>
  </rcc>
  <rcc rId="5770" sId="1">
    <oc r="D131">
      <f>D136+D140+D144+D148+#REF!+D132</f>
    </oc>
    <nc r="D131">
      <f>D136+D140+D144+D148+D132</f>
    </nc>
  </rcc>
  <rcc rId="5771" sId="1">
    <oc r="E131">
      <f>E136+E140+E144+E148+#REF!+E132</f>
    </oc>
    <nc r="E131">
      <f>E136+E140+E144+E148+E132</f>
    </nc>
  </rcc>
  <rcc rId="5772" sId="1">
    <oc r="F131">
      <f>F136+F140+F144+F148+#REF!+F132</f>
    </oc>
    <nc r="F131">
      <f>F136+F140+F144+F148+F132</f>
    </nc>
  </rcc>
  <rfmt sheetId="1" sqref="A131:F164">
    <dxf>
      <fill>
        <patternFill patternType="none">
          <bgColor auto="1"/>
        </patternFill>
      </fill>
    </dxf>
  </rfmt>
  <rrc rId="5773" sId="1" ref="A33:XFD33" action="deleteRow">
    <undo index="11" exp="ref" v="1" dr="F33" r="F32" sId="1"/>
    <undo index="11" exp="ref" v="1" dr="E33" r="E32" sId="1"/>
    <undo index="11" exp="ref" v="1" dr="D33" r="D32" sId="1"/>
    <undo index="0" exp="area" ref3D="1" dr="$A$261:$XFD$269" dn="Z_30E81E54_DD45_4653_9DCD_548F6723F554_.wvu.Rows" sId="1"/>
    <rfmt sheetId="1" xfDxf="1" sqref="A33:XFD3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3" t="inlineStr">
        <is>
      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      </is>
      </nc>
      <n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33" t="inlineStr">
        <is>
          <t>03 1 00 S6960</t>
        </is>
      </nc>
      <n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33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3">
        <f>D34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3">
        <f>E34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3">
        <f>F34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ill>
          <patternFill>
            <bgColor theme="0"/>
          </patternFill>
        </fill>
      </dxf>
    </rfmt>
    <rfmt sheetId="1" sqref="H33" start="0" length="0">
      <dxf>
        <fill>
          <patternFill>
            <bgColor theme="0"/>
          </patternFill>
        </fill>
      </dxf>
    </rfmt>
    <rfmt sheetId="1" sqref="I33" start="0" length="0">
      <dxf>
        <fill>
          <patternFill>
            <bgColor theme="0"/>
          </patternFill>
        </fill>
      </dxf>
    </rfmt>
    <rfmt sheetId="1" sqref="J33" start="0" length="0">
      <dxf>
        <fill>
          <patternFill>
            <bgColor theme="0"/>
          </patternFill>
        </fill>
      </dxf>
    </rfmt>
  </rrc>
  <rrc rId="5774" sId="1" ref="A33:XFD33" action="deleteRow">
    <undo index="0" exp="area" ref3D="1" dr="$A$260:$XFD$268" dn="Z_30E81E54_DD45_4653_9DCD_548F6723F554_.wvu.Rows" sId="1"/>
    <rfmt sheetId="1" xfDxf="1" sqref="A33:XFD3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3" t="inlineStr">
        <is>
          <t>Предоставление субсидий бюджетным, автономным учреждениям и иным некоммерческим организациям</t>
        </is>
      </nc>
      <n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33" t="inlineStr">
        <is>
          <t>03 1 00 S6960</t>
        </is>
      </nc>
      <n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33">
        <v>600</v>
      </nc>
      <n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3">
        <f>D34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3">
        <f>E34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3">
        <f>F34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ill>
          <patternFill>
            <bgColor theme="0"/>
          </patternFill>
        </fill>
      </dxf>
    </rfmt>
    <rfmt sheetId="1" sqref="H33" start="0" length="0">
      <dxf>
        <fill>
          <patternFill>
            <bgColor theme="0"/>
          </patternFill>
        </fill>
      </dxf>
    </rfmt>
    <rfmt sheetId="1" sqref="I33" start="0" length="0">
      <dxf>
        <fill>
          <patternFill>
            <bgColor theme="0"/>
          </patternFill>
        </fill>
      </dxf>
    </rfmt>
    <rfmt sheetId="1" sqref="J33" start="0" length="0">
      <dxf>
        <fill>
          <patternFill>
            <bgColor theme="0"/>
          </patternFill>
        </fill>
      </dxf>
    </rfmt>
  </rrc>
  <rrc rId="5775" sId="1" ref="A33:XFD33" action="deleteRow">
    <undo index="0" exp="area" ref3D="1" dr="$A$259:$XFD$267" dn="Z_30E81E54_DD45_4653_9DCD_548F6723F554_.wvu.Rows" sId="1"/>
    <rfmt sheetId="1" xfDxf="1" sqref="A33:XFD3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3" t="inlineStr">
        <is>
          <t>Субсидии бюджетным учреждениям</t>
        </is>
      </nc>
      <n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33" t="inlineStr">
        <is>
          <t>03 1 00 S6960</t>
        </is>
      </nc>
      <n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33">
        <v>610</v>
      </nc>
      <n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3">
        <f>D34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3">
        <f>E34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3">
        <f>F34</f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ill>
          <patternFill>
            <bgColor theme="0"/>
          </patternFill>
        </fill>
      </dxf>
    </rfmt>
    <rfmt sheetId="1" sqref="H33" start="0" length="0">
      <dxf>
        <fill>
          <patternFill>
            <bgColor theme="0"/>
          </patternFill>
        </fill>
      </dxf>
    </rfmt>
    <rfmt sheetId="1" sqref="I33" start="0" length="0">
      <dxf>
        <fill>
          <patternFill>
            <bgColor theme="0"/>
          </patternFill>
        </fill>
      </dxf>
    </rfmt>
    <rfmt sheetId="1" sqref="J33" start="0" length="0">
      <dxf>
        <fill>
          <patternFill>
            <bgColor theme="0"/>
          </patternFill>
        </fill>
      </dxf>
    </rfmt>
  </rrc>
  <rrc rId="5776" sId="1" ref="A33:XFD33" action="deleteRow">
    <undo index="0" exp="area" ref3D="1" dr="$A$258:$XFD$266" dn="Z_30E81E54_DD45_4653_9DCD_548F6723F554_.wvu.Rows" sId="1"/>
    <rfmt sheetId="1" xfDxf="1" sqref="A33:XFD3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33" t="inlineStr">
        <is>
          <t>Субсидии бюджетным учреждениям на  иные цели</t>
        </is>
      </nc>
      <n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33" t="inlineStr">
        <is>
          <t>03 1 00 S6960</t>
        </is>
      </nc>
      <n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C33">
        <v>612</v>
      </nc>
      <n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33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3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33">
        <v>0</v>
      </nc>
      <n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ill>
          <patternFill>
            <bgColor theme="0"/>
          </patternFill>
        </fill>
      </dxf>
    </rfmt>
    <rfmt sheetId="1" sqref="H33" start="0" length="0">
      <dxf>
        <fill>
          <patternFill>
            <bgColor theme="0"/>
          </patternFill>
        </fill>
      </dxf>
    </rfmt>
    <rfmt sheetId="1" sqref="I33" start="0" length="0">
      <dxf>
        <fill>
          <patternFill>
            <bgColor theme="0"/>
          </patternFill>
        </fill>
      </dxf>
    </rfmt>
    <rfmt sheetId="1" sqref="J33" start="0" length="0">
      <dxf>
        <fill>
          <patternFill>
            <bgColor theme="0"/>
          </patternFill>
        </fill>
      </dxf>
    </rfmt>
  </rrc>
  <rcc rId="5777" sId="1">
    <oc r="D32">
      <f>D37+D41+D53+D58+D45+#REF!+D49+D33</f>
    </oc>
    <nc r="D32">
      <f>D33+D37+D49+D54+D41+D45</f>
    </nc>
  </rcc>
  <rcc rId="5778" sId="1">
    <oc r="E32">
      <f>E37+E41+E53+E58+E45+#REF!+E49+E33</f>
    </oc>
    <nc r="E32">
      <f>E33+E37+E49+E54+E41+E45</f>
    </nc>
  </rcc>
  <rcc rId="5779" sId="1">
    <oc r="F32">
      <f>F37+F41+F53+F58+F45+#REF!+F49+F33</f>
    </oc>
    <nc r="F32">
      <f>F33+F37+F49+F54+F41+F45</f>
    </nc>
  </rcc>
  <rfmt sheetId="1" sqref="A32:F57">
    <dxf>
      <fill>
        <patternFill patternType="none">
          <bgColor auto="1"/>
        </patternFill>
      </fill>
    </dxf>
  </rfmt>
  <rcc rId="5780" sId="1" numFmtId="34">
    <oc r="D104">
      <v>2523391.11</v>
    </oc>
    <nc r="D104">
      <v>252339.11</v>
    </nc>
  </rcc>
  <rcc rId="5781" sId="1" numFmtId="34">
    <oc r="E104">
      <v>1471052</v>
    </oc>
    <nc r="E104">
      <v>252339.11</v>
    </nc>
  </rcc>
  <rcc rId="5782" sId="1" numFmtId="34">
    <oc r="F104">
      <v>0</v>
    </oc>
    <nc r="F104">
      <v>252339.11</v>
    </nc>
  </rcc>
  <rcc rId="5783" sId="1" numFmtId="34">
    <oc r="D96">
      <f>3387420+538300+1056919.25</f>
    </oc>
    <nc r="D96">
      <v>14141540</v>
    </nc>
  </rcc>
  <rfmt sheetId="1" sqref="D96">
    <dxf>
      <fill>
        <patternFill>
          <bgColor rgb="FFFF0000"/>
        </patternFill>
      </fill>
    </dxf>
  </rfmt>
  <rcv guid="{9A752CC5-36AC-48BE-BF4B-1A38C4015906}" action="delete"/>
  <rdn rId="0" localSheetId="1" customView="1" name="Z_9A752CC5_36AC_48BE_BF4B_1A38C4015906_.wvu.PrintArea" hidden="1" oldHidden="1">
    <formula>'программы '!$A$1:$F$889</formula>
    <oldFormula>'программы '!$A$1:$F$889</oldFormula>
  </rdn>
  <rdn rId="0" localSheetId="1" customView="1" name="Z_9A752CC5_36AC_48BE_BF4B_1A38C4015906_.wvu.FilterData" hidden="1" oldHidden="1">
    <formula>'программы '!$A$11:$F$348</formula>
    <oldFormula>'программы '!$C$1:$C$897</oldFormula>
  </rdn>
  <rcv guid="{9A752CC5-36AC-48BE-BF4B-1A38C4015906}" action="add"/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1" sId="1">
    <oc r="D542">
      <f>55099.99+1375048.64-600000</f>
    </oc>
    <nc r="D542">
      <f>55099.99+1375048.64-600000-727434.02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2" sId="1">
    <oc r="D542">
      <f>55099.99+1375048.64-600000-727434.02</f>
    </oc>
    <nc r="D542">
      <f>55099.99+1375048.64-727434.02</f>
    </nc>
  </rcc>
  <rcc rId="5133" sId="1" numFmtId="34">
    <oc r="D955">
      <v>1147500</v>
    </oc>
    <nc r="D955">
      <f>1147500+5850000</f>
    </nc>
  </rcc>
  <rcc rId="5134" sId="1">
    <oc r="D963">
      <f>11409500-2850000</f>
    </oc>
    <nc r="D963">
      <f>11409500-2850000-5850000</f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21" sId="1" ref="A1:XFD1" action="deleteRow">
    <undo index="0" exp="area" ref3D="1" dr="$A$1:$A$770" dn="Z_30E81E54_DD45_4653_9DCD_548F6723F554_.wvu.FilterData" sId="1"/>
    <undo index="0" exp="area" ref3D="1" dr="$A$1:$A$770" dn="_ФильтрБазыДанных" sId="1"/>
    <undo index="0" exp="area" ref3D="1" dr="$B$1:$B$765" dn="Z_7E5C1749_FF4E_4347_A58E_2DEF63C9D9CB_.wvu.FilterData" sId="1"/>
    <undo index="0" exp="area" ref3D="1" dr="$A$1:$F$757" dn="Z_547FB17C_1FA3_4D81_B22A_42218056849D_.wvu.PrintArea" sId="1"/>
    <undo index="0" exp="area" ref3D="1" dr="$B$1:$B$765" dn="Z_547FB17C_1FA3_4D81_B22A_42218056849D_.wvu.FilterData" sId="1"/>
    <undo index="0" exp="area" ref3D="1" dr="$B$1:$B$765" dn="Z_683BEDAB_5AF7_4F46_BC3A_F9D325B8EF01_.wvu.FilterData" sId="1"/>
    <undo index="0" exp="area" ref3D="1" dr="$A$235:$XFD$239" dn="Z_30E81E54_DD45_4653_9DCD_548F6723F554_.wvu.Rows" sId="1"/>
    <undo index="0" exp="area" ref3D="1" dr="$A$1:$F$757" dn="Z_30E81E54_DD45_4653_9DCD_548F6723F554_.wvu.PrintArea" sId="1"/>
    <undo index="0" exp="area" ref3D="1" dr="$A$1:$F$757" dn="Область_печати" sId="1"/>
    <undo index="0" exp="area" ref3D="1" dr="$B$1:$B$765" dn="Z_C401343A_675B_4FC1_A6F5_67CE31618685_.wvu.FilterData" sId="1"/>
    <undo index="0" exp="area" ref3D="1" dr="$B$1:$B$765" dn="Z_6F8BA463_0055_46DE_8D23_E8E86D83EC4B_.wvu.FilterData" sId="1"/>
    <undo index="0" exp="area" ref3D="1" dr="$A$1:$A$770" dn="Z_9A752CC5_36AC_48BE_BF4B_1A38C4015906_.wvu.FilterData" sId="1"/>
    <undo index="0" exp="area" ref3D="1" dr="$B$1:$B$765" dn="Z_F8703169_880A_4977_8713_9386DA2F09A9_.wvu.FilterData" sId="1"/>
    <rfmt sheetId="1" xfDxf="1" sqref="A1:XFD1" start="0" length="0">
      <dxf>
        <font>
          <name val="Times New Roman"/>
          <scheme val="none"/>
        </font>
        <alignment vertical="center" readingOrder="0"/>
      </dxf>
    </rfmt>
    <rcc rId="0" sId="1" s="1" dxf="1">
      <nc r="A1" t="inlineStr">
        <is>
          <t>Приложение № 4 к таблице поправок</t>
        </is>
      </nc>
      <ndxf>
        <alignment horizontal="right" readingOrder="0"/>
      </ndxf>
    </rcc>
    <rfmt sheetId="1" s="1" sqref="B1" start="0" length="0">
      <dxf>
        <alignment horizontal="right" readingOrder="0"/>
      </dxf>
    </rfmt>
    <rfmt sheetId="1" s="1" sqref="C1" start="0" length="0">
      <dxf>
        <alignment horizontal="right" readingOrder="0"/>
      </dxf>
    </rfmt>
    <rfmt sheetId="1" s="1" sqref="D1" start="0" length="0">
      <dxf>
        <alignment horizontal="right" readingOrder="0"/>
      </dxf>
    </rfmt>
    <rfmt sheetId="1" s="1" sqref="E1" start="0" length="0">
      <dxf>
        <alignment horizontal="right" readingOrder="0"/>
      </dxf>
    </rfmt>
    <rfmt sheetId="1" s="1" sqref="F1" start="0" length="0">
      <dxf>
        <alignment horizontal="right" readingOrder="0"/>
      </dxf>
    </rfmt>
  </rrc>
  <rrc rId="2822" sId="1" ref="A1:XFD1" action="deleteRow">
    <undo index="0" exp="area" ref3D="1" dr="$A$1:$A$769" dn="Z_30E81E54_DD45_4653_9DCD_548F6723F554_.wvu.FilterData" sId="1"/>
    <undo index="0" exp="area" ref3D="1" dr="$A$1:$A$769" dn="_ФильтрБазыДанных" sId="1"/>
    <undo index="0" exp="area" ref3D="1" dr="$B$1:$B$764" dn="Z_7E5C1749_FF4E_4347_A58E_2DEF63C9D9CB_.wvu.FilterData" sId="1"/>
    <undo index="0" exp="area" ref3D="1" dr="$A$1:$F$756" dn="Z_547FB17C_1FA3_4D81_B22A_42218056849D_.wvu.PrintArea" sId="1"/>
    <undo index="0" exp="area" ref3D="1" dr="$B$1:$B$764" dn="Z_547FB17C_1FA3_4D81_B22A_42218056849D_.wvu.FilterData" sId="1"/>
    <undo index="0" exp="area" ref3D="1" dr="$B$1:$B$764" dn="Z_683BEDAB_5AF7_4F46_BC3A_F9D325B8EF01_.wvu.FilterData" sId="1"/>
    <undo index="0" exp="area" ref3D="1" dr="$A$234:$XFD$238" dn="Z_30E81E54_DD45_4653_9DCD_548F6723F554_.wvu.Rows" sId="1"/>
    <undo index="0" exp="area" ref3D="1" dr="$A$1:$F$756" dn="Z_30E81E54_DD45_4653_9DCD_548F6723F554_.wvu.PrintArea" sId="1"/>
    <undo index="0" exp="area" ref3D="1" dr="$A$1:$F$756" dn="Область_печати" sId="1"/>
    <undo index="0" exp="area" ref3D="1" dr="$B$1:$B$764" dn="Z_C401343A_675B_4FC1_A6F5_67CE31618685_.wvu.FilterData" sId="1"/>
    <undo index="0" exp="area" ref3D="1" dr="$B$1:$B$764" dn="Z_6F8BA463_0055_46DE_8D23_E8E86D83EC4B_.wvu.FilterData" sId="1"/>
    <undo index="0" exp="area" ref3D="1" dr="$A$1:$A$769" dn="Z_9A752CC5_36AC_48BE_BF4B_1A38C4015906_.wvu.FilterData" sId="1"/>
    <undo index="0" exp="area" ref3D="1" dr="$B$1:$B$764" dn="Z_F8703169_880A_4977_8713_9386DA2F09A9_.wvu.FilterData" sId="1"/>
    <rfmt sheetId="1" xfDxf="1" sqref="A1:XFD1" start="0" length="0">
      <dxf>
        <font>
          <name val="Times New Roman"/>
          <scheme val="none"/>
        </font>
        <alignment vertical="center" readingOrder="0"/>
      </dxf>
    </rfmt>
    <rfmt sheetId="1" s="1" sqref="A1" start="0" length="0">
      <dxf>
        <alignment horizontal="right" readingOrder="0"/>
      </dxf>
    </rfmt>
    <rfmt sheetId="1" s="1" sqref="B1" start="0" length="0">
      <dxf>
        <alignment horizontal="right" readingOrder="0"/>
      </dxf>
    </rfmt>
    <rfmt sheetId="1" s="1" sqref="C1" start="0" length="0">
      <dxf>
        <alignment horizontal="right" readingOrder="0"/>
      </dxf>
    </rfmt>
    <rfmt sheetId="1" s="1" sqref="D1" start="0" length="0">
      <dxf>
        <alignment horizontal="right" readingOrder="0"/>
      </dxf>
    </rfmt>
    <rfmt sheetId="1" s="1" sqref="E1" start="0" length="0">
      <dxf>
        <alignment horizontal="right" readingOrder="0"/>
      </dxf>
    </rfmt>
    <rfmt sheetId="1" s="1" sqref="F1" start="0" length="0">
      <dxf>
        <alignment horizontal="right" readingOrder="0"/>
      </dxf>
    </rfmt>
  </rrc>
  <rcc rId="2823" sId="1">
    <oc r="F4" t="inlineStr">
      <is>
        <t xml:space="preserve">от                  февраля 2024 года № </t>
      </is>
    </oc>
    <nc r="F4" t="inlineStr">
      <is>
        <t xml:space="preserve">от                  апреля 2024 года №   </t>
      </is>
    </nc>
  </rcc>
  <rdn rId="0" localSheetId="1" customView="1" name="Z_D9B90A86_BE39_4FED_8226_084809D277F3_.wvu.PrintArea" hidden="1" oldHidden="1">
    <formula>'программы '!$A$1:$F$755</formula>
  </rdn>
  <rdn rId="0" localSheetId="1" customView="1" name="Z_D9B90A86_BE39_4FED_8226_084809D277F3_.wvu.Rows" hidden="1" oldHidden="1">
    <formula>'программы '!$233:$237</formula>
  </rdn>
  <rdn rId="0" localSheetId="1" customView="1" name="Z_D9B90A86_BE39_4FED_8226_084809D277F3_.wvu.FilterData" hidden="1" oldHidden="1">
    <formula>'программы '!$A$1:$A$768</formula>
  </rdn>
  <rcv guid="{D9B90A86-BE39-4FED-8226-084809D277F3}" action="add"/>
</revisions>
</file>

<file path=xl/revisions/revisionLog18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5" sId="1" numFmtId="34">
    <oc r="D668">
      <v>994070.79</v>
    </oc>
    <nc r="D668">
      <f>994070.79+166161.24</f>
    </nc>
  </rcc>
  <rcc rId="5136" sId="1" numFmtId="34">
    <oc r="D669">
      <v>300209.38000000006</v>
    </oc>
    <nc r="D669">
      <f>300209.38+50180.7</f>
    </nc>
  </rcc>
  <rcc rId="5137" sId="1" numFmtId="34">
    <oc r="D674">
      <v>3699216.81</v>
    </oc>
    <nc r="D674">
      <f>3699216.81-166161.24</f>
    </nc>
  </rcc>
  <rcc rId="5138" sId="1" numFmtId="34">
    <oc r="D677">
      <v>1117163.47</v>
    </oc>
    <nc r="D677">
      <f>1117163.47-50180.7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9" sId="1">
    <oc r="D803">
      <f>2883700+70000-2111604.31+26700</f>
    </oc>
    <nc r="D803">
      <f>2883700+70000-2111604.31+267000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0" sId="1" numFmtId="34">
    <oc r="D976">
      <v>61935.55</v>
    </oc>
    <nc r="D976">
      <v>1176775.45</v>
    </nc>
  </rcc>
  <rcc rId="5141" sId="1">
    <oc r="D963">
      <f>11409500-2850000-5850000</f>
    </oc>
    <nc r="D963">
      <f>11409500-2850000-5850000-1147500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2" sId="1">
    <oc r="D962">
      <f>2850000+150000</f>
    </oc>
    <nc r="D962">
      <f>2850000-2700000</f>
    </nc>
  </rcc>
  <rcv guid="{D9B90A86-BE39-4FED-8226-084809D277F3}" action="delete"/>
  <rdn rId="0" localSheetId="1" customView="1" name="Z_D9B90A86_BE39_4FED_8226_084809D277F3_.wvu.PrintArea" hidden="1" oldHidden="1">
    <formula>'программы '!$A$1:$F$987</formula>
    <oldFormula>'программы '!$A$1:$F$987</oldFormula>
  </rdn>
  <rdn rId="0" localSheetId="1" customView="1" name="Z_D9B90A86_BE39_4FED_8226_084809D277F3_.wvu.FilterData" hidden="1" oldHidden="1">
    <formula>'программы '!$C$1:$C$995</formula>
    <oldFormula>'программы '!$C$1:$C$995</oldFormula>
  </rdn>
  <rcv guid="{D9B90A86-BE39-4FED-8226-084809D277F3}" action="add"/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942" start="0" length="2147483647">
    <dxf>
      <font>
        <b/>
      </font>
    </dxf>
  </rfmt>
  <rfmt sheetId="1" sqref="D942" start="0" length="2147483647">
    <dxf>
      <font>
        <i/>
      </font>
    </dxf>
  </rfmt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5" sId="1">
    <oc r="D976">
      <v>1176775.45</v>
    </oc>
    <nc r="D976">
      <f>1176775.45-1114839.9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6" sId="1">
    <oc r="D276">
      <f>7881164.9-40468.9</f>
    </oc>
    <nc r="D276">
      <f>7881164.9-320468.9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7" sId="1">
    <oc r="D875">
      <f>383912.82</f>
    </oc>
    <nc r="D875">
      <f>383912.82+25000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6911" sId="1" odxf="1" dxf="1">
    <oc r="A237" t="inlineStr">
      <is>
        <t>Возмещение индивидуальному предпринимателю  Минту Алексею Петровичу убытков, возникающих в результате регулирования тарифов на перевозку пассажиров по технологической узкоколейной железной дороге «Липаково-Лужма-Сеза»</t>
      </is>
    </oc>
    <nc r="A237" t="inlineStr">
      <is>
        <t>Возмещение индивидуальному предпринимателю  Минту Алексею Петровичу убытков, возникающих в результате регулирования тарифов на перевозку пассажиров по технологической узкоколейной железной дороге «Липаково-Лужма-Сеза» в 2025 году</t>
      </is>
    </nc>
    <odxf>
      <fill>
        <patternFill patternType="none">
          <bgColor indexed="65"/>
        </patternFill>
      </fill>
    </odxf>
    <ndxf>
      <fill>
        <patternFill patternType="solid">
          <bgColor theme="7" tint="0.39997558519241921"/>
        </patternFill>
      </fill>
    </ndxf>
  </rcc>
  <rfmt sheetId="1" sqref="A237">
    <dxf>
      <fill>
        <patternFill patternType="none">
          <bgColor auto="1"/>
        </patternFill>
      </fill>
    </dxf>
  </rfmt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8" sId="1">
    <oc r="F4" t="inlineStr">
      <is>
        <t xml:space="preserve">от                  июня 2024 года №   </t>
      </is>
    </oc>
    <nc r="F4" t="inlineStr">
      <is>
        <t xml:space="preserve">от                  сентября 2024 года №   </t>
      </is>
    </nc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9" sId="1" xfDxf="1" dxf="1">
    <oc r="A837" t="inlineStr">
      <is>
        <t>Прочие расходы по муниципальному жилищному фонду</t>
      </is>
    </oc>
    <nc r="A837" t="inlineStr">
      <is>
        <t>Расходы по независимой оценке стоимости имущества, для целей выплаты возмещения гражданам за принадлежащие им жилые помещения при изъятии земельных участков, на которых расположены аварийные дома, признанные аварийными, в которых находятся жилые помещения</t>
      </is>
    </nc>
    <ndxf>
      <font>
        <name val="Times New Roman"/>
        <scheme val="none"/>
      </font>
      <fill>
        <patternFill patternType="solid">
          <bgColor rgb="FFFF00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'!$A$1:$F$987</formula>
    <oldFormula>'программы '!$A$1:$F$987</oldFormula>
  </rdn>
  <rdn rId="0" localSheetId="1" customView="1" name="Z_D9B90A86_BE39_4FED_8226_084809D277F3_.wvu.FilterData" hidden="1" oldHidden="1">
    <formula>'программы '!$C$1:$C$995</formula>
    <oldFormula>'программы '!$C$1:$C$995</oldFormula>
  </rdn>
  <rcv guid="{D9B90A86-BE39-4FED-8226-084809D277F3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27" sId="1" numFmtId="34">
    <oc r="C470">
      <v>414</v>
    </oc>
    <nc r="C470">
      <v>412</v>
    </nc>
  </rcc>
  <rcc rId="2828" sId="1" xfDxf="1" dxf="1">
    <oc r="A470" t="inlineStr">
      <is>
        <t>Бюджетные инвестиции в объекты капитального строительства государственной (муниципальной) собственностидии</t>
      </is>
    </oc>
    <nc r="A470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  <ndxf>
      <font>
        <name val="Times New Roman"/>
        <family val="1"/>
      </font>
      <alignment horizontal="justify" vertical="center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'!$A$1:$F$755</formula>
    <oldFormula>'программы '!$A$1:$F$755</oldFormula>
  </rdn>
  <rdn rId="0" localSheetId="1" customView="1" name="Z_D9B90A86_BE39_4FED_8226_084809D277F3_.wvu.Rows" hidden="1" oldHidden="1">
    <formula>'программы '!$233:$237</formula>
    <oldFormula>'программы '!$233:$237</oldFormula>
  </rdn>
  <rdn rId="0" localSheetId="1" customView="1" name="Z_D9B90A86_BE39_4FED_8226_084809D277F3_.wvu.FilterData" hidden="1" oldHidden="1">
    <formula>'программы '!$A$1:$A$768</formula>
    <oldFormula>'программы '!$A$1:$A$768</oldFormula>
  </rdn>
  <rcv guid="{D9B90A86-BE39-4FED-8226-084809D277F3}" action="add"/>
</revisions>
</file>

<file path=xl/revisions/revisionLog19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I1048576">
    <dxf>
      <fill>
        <patternFill>
          <bgColor theme="0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'!$A$1:$F$987</formula>
    <oldFormula>'программы '!$A$1:$F$987</oldFormula>
  </rdn>
  <rdn rId="0" localSheetId="1" customView="1" name="Z_D9B90A86_BE39_4FED_8226_084809D277F3_.wvu.Rows" hidden="1" oldHidden="1">
    <formula>'программы '!$28:$31,'программы '!$75:$78,'программы '!$123:$126,'программы '!$166:$169,'программы '!$338:$341,'программы '!$362:$364,'программы '!$384:$387,'программы '!$417:$420,'программы '!$475:$479,'программы '!$552:$555,'программы '!$566:$569,'программы '!$575:$577,'программы '!$700:$703,'программы '!$829:$832,'программы '!$845:$850,'программы '!$879:$882,'программы '!$939:$941</formula>
  </rdn>
  <rdn rId="0" localSheetId="1" customView="1" name="Z_D9B90A86_BE39_4FED_8226_084809D277F3_.wvu.FilterData" hidden="1" oldHidden="1">
    <formula>'программы '!$C$1:$C$995</formula>
    <oldFormula>'программы '!$C$1:$C$995</oldFormula>
  </rdn>
  <rcv guid="{D9B90A86-BE39-4FED-8226-084809D277F3}" action="add"/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59" sId="1" ref="A75:XFD75" action="deleteRow">
    <undo index="15" exp="ref" v="1" dr="F75" r="F74" sId="1"/>
    <undo index="15" exp="ref" v="1" dr="E75" r="E74" sId="1"/>
    <undo index="15" exp="ref" v="1" dr="D75" r="D74" sId="1"/>
    <undo index="32" exp="area" ref3D="1" dr="$A$939:$XFD$941" dn="Z_D9B90A86_BE39_4FED_8226_084809D277F3_.wvu.Rows" sId="1"/>
    <undo index="30" exp="area" ref3D="1" dr="$A$879:$XFD$882" dn="Z_D9B90A86_BE39_4FED_8226_084809D277F3_.wvu.Rows" sId="1"/>
    <undo index="28" exp="area" ref3D="1" dr="$A$845:$XFD$850" dn="Z_D9B90A86_BE39_4FED_8226_084809D277F3_.wvu.Rows" sId="1"/>
    <undo index="26" exp="area" ref3D="1" dr="$A$829:$XFD$832" dn="Z_D9B90A86_BE39_4FED_8226_084809D277F3_.wvu.Rows" sId="1"/>
    <undo index="24" exp="area" ref3D="1" dr="$A$700:$XFD$703" dn="Z_D9B90A86_BE39_4FED_8226_084809D277F3_.wvu.Rows" sId="1"/>
    <undo index="22" exp="area" ref3D="1" dr="$A$575:$XFD$577" dn="Z_D9B90A86_BE39_4FED_8226_084809D277F3_.wvu.Rows" sId="1"/>
    <undo index="20" exp="area" ref3D="1" dr="$A$566:$XFD$569" dn="Z_D9B90A86_BE39_4FED_8226_084809D277F3_.wvu.Rows" sId="1"/>
    <undo index="18" exp="area" ref3D="1" dr="$A$552:$XFD$555" dn="Z_D9B90A86_BE39_4FED_8226_084809D277F3_.wvu.Rows" sId="1"/>
    <undo index="16" exp="area" ref3D="1" dr="$A$475:$XFD$479" dn="Z_D9B90A86_BE39_4FED_8226_084809D277F3_.wvu.Rows" sId="1"/>
    <undo index="14" exp="area" ref3D="1" dr="$A$417:$XFD$420" dn="Z_D9B90A86_BE39_4FED_8226_084809D277F3_.wvu.Rows" sId="1"/>
    <undo index="12" exp="area" ref3D="1" dr="$A$384:$XFD$387" dn="Z_D9B90A86_BE39_4FED_8226_084809D277F3_.wvu.Rows" sId="1"/>
    <undo index="10" exp="area" ref3D="1" dr="$A$362:$XFD$364" dn="Z_D9B90A86_BE39_4FED_8226_084809D277F3_.wvu.Rows" sId="1"/>
    <undo index="8" exp="area" ref3D="1" dr="$A$338:$XFD$341" dn="Z_D9B90A86_BE39_4FED_8226_084809D277F3_.wvu.Rows" sId="1"/>
    <undo index="6" exp="area" ref3D="1" dr="$A$166:$XFD$169" dn="Z_D9B90A86_BE39_4FED_8226_084809D277F3_.wvu.Rows" sId="1"/>
    <undo index="4" exp="area" ref3D="1" dr="$A$123:$XFD$126" dn="Z_D9B90A86_BE39_4FED_8226_084809D277F3_.wvu.Rows" sId="1"/>
    <undo index="2" exp="area" ref3D="1" dr="$A$75:$XFD$78" dn="Z_D9B90A86_BE39_4FED_8226_084809D277F3_.wvu.Rows" sId="1"/>
    <undo index="0" exp="area" ref3D="1" dr="$A$310:$XFD$318" dn="Z_30E81E54_DD45_4653_9DCD_548F6723F554_.wvu.Rows" sId="1"/>
    <rfmt sheetId="1" xfDxf="1" sqref="A75:XFD75" start="0" length="0">
      <dxf>
        <font>
          <b/>
          <name val="Times New Roman"/>
          <scheme val="none"/>
        </font>
        <alignment vertical="center" readingOrder="0"/>
      </dxf>
    </rfmt>
    <rcc rId="0" sId="1" dxf="1">
      <nc r="A75" t="inlineStr">
        <is>
  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      </is>
      </nc>
      <ndxf>
        <font>
          <b val="0"/>
          <name val="Times New Roman Cyr"/>
          <scheme val="none"/>
        </font>
        <fill>
          <patternFill patternType="solid">
            <bgColor theme="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75" t="inlineStr">
        <is>
          <t>03 2 00 53032</t>
        </is>
      </nc>
      <ndxf>
        <font>
          <b val="0"/>
          <name val="Times New Roman Cyr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5" start="0" length="0">
      <dxf>
        <font>
          <b val="0"/>
          <name val="Times New Roman Cyr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75">
        <f>D77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75">
        <f>E77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75">
        <f>F77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ill>
          <patternFill patternType="solid">
            <bgColor theme="0"/>
          </patternFill>
        </fill>
      </dxf>
    </rfmt>
    <rfmt sheetId="1" sqref="H75" start="0" length="0">
      <dxf>
        <fill>
          <patternFill patternType="solid">
            <bgColor theme="0"/>
          </patternFill>
        </fill>
      </dxf>
    </rfmt>
    <rfmt sheetId="1" sqref="I75" start="0" length="0">
      <dxf>
        <fill>
          <patternFill patternType="solid">
            <bgColor theme="0"/>
          </patternFill>
        </fill>
      </dxf>
    </rfmt>
  </rrc>
  <rrc rId="5160" sId="1" ref="A75:XFD75" action="deleteRow">
    <undo index="32" exp="area" ref3D="1" dr="$A$938:$XFD$940" dn="Z_D9B90A86_BE39_4FED_8226_084809D277F3_.wvu.Rows" sId="1"/>
    <undo index="30" exp="area" ref3D="1" dr="$A$878:$XFD$881" dn="Z_D9B90A86_BE39_4FED_8226_084809D277F3_.wvu.Rows" sId="1"/>
    <undo index="28" exp="area" ref3D="1" dr="$A$844:$XFD$849" dn="Z_D9B90A86_BE39_4FED_8226_084809D277F3_.wvu.Rows" sId="1"/>
    <undo index="26" exp="area" ref3D="1" dr="$A$828:$XFD$831" dn="Z_D9B90A86_BE39_4FED_8226_084809D277F3_.wvu.Rows" sId="1"/>
    <undo index="24" exp="area" ref3D="1" dr="$A$699:$XFD$702" dn="Z_D9B90A86_BE39_4FED_8226_084809D277F3_.wvu.Rows" sId="1"/>
    <undo index="22" exp="area" ref3D="1" dr="$A$574:$XFD$576" dn="Z_D9B90A86_BE39_4FED_8226_084809D277F3_.wvu.Rows" sId="1"/>
    <undo index="20" exp="area" ref3D="1" dr="$A$565:$XFD$568" dn="Z_D9B90A86_BE39_4FED_8226_084809D277F3_.wvu.Rows" sId="1"/>
    <undo index="18" exp="area" ref3D="1" dr="$A$551:$XFD$554" dn="Z_D9B90A86_BE39_4FED_8226_084809D277F3_.wvu.Rows" sId="1"/>
    <undo index="16" exp="area" ref3D="1" dr="$A$474:$XFD$478" dn="Z_D9B90A86_BE39_4FED_8226_084809D277F3_.wvu.Rows" sId="1"/>
    <undo index="14" exp="area" ref3D="1" dr="$A$416:$XFD$419" dn="Z_D9B90A86_BE39_4FED_8226_084809D277F3_.wvu.Rows" sId="1"/>
    <undo index="12" exp="area" ref3D="1" dr="$A$383:$XFD$386" dn="Z_D9B90A86_BE39_4FED_8226_084809D277F3_.wvu.Rows" sId="1"/>
    <undo index="10" exp="area" ref3D="1" dr="$A$361:$XFD$363" dn="Z_D9B90A86_BE39_4FED_8226_084809D277F3_.wvu.Rows" sId="1"/>
    <undo index="8" exp="area" ref3D="1" dr="$A$337:$XFD$340" dn="Z_D9B90A86_BE39_4FED_8226_084809D277F3_.wvu.Rows" sId="1"/>
    <undo index="6" exp="area" ref3D="1" dr="$A$165:$XFD$168" dn="Z_D9B90A86_BE39_4FED_8226_084809D277F3_.wvu.Rows" sId="1"/>
    <undo index="4" exp="area" ref3D="1" dr="$A$122:$XFD$125" dn="Z_D9B90A86_BE39_4FED_8226_084809D277F3_.wvu.Rows" sId="1"/>
    <undo index="2" exp="area" ref3D="1" dr="$A$75:$XFD$77" dn="Z_D9B90A86_BE39_4FED_8226_084809D277F3_.wvu.Rows" sId="1"/>
    <undo index="0" exp="area" ref3D="1" dr="$A$309:$XFD$317" dn="Z_30E81E54_DD45_4653_9DCD_548F6723F554_.wvu.Rows" sId="1"/>
    <rfmt sheetId="1" xfDxf="1" sqref="A75:XFD75" start="0" length="0">
      <dxf>
        <font>
          <b/>
          <name val="Times New Roman"/>
          <scheme val="none"/>
        </font>
        <alignment vertical="center" readingOrder="0"/>
      </dxf>
    </rfmt>
    <rcc rId="0" sId="1" dxf="1">
      <nc r="A7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b val="0"/>
          <name val="Times New Roman"/>
          <scheme val="none"/>
        </font>
        <fill>
          <patternFill patternType="solid">
            <bgColor theme="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03 2 00 53032</t>
        </is>
      </nc>
      <ndxf>
        <font>
          <b val="0"/>
          <name val="Times New Roman Cyr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600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75">
        <f>D76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75">
        <f>E76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75">
        <f>F76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ill>
          <patternFill patternType="solid">
            <bgColor theme="0"/>
          </patternFill>
        </fill>
      </dxf>
    </rfmt>
    <rfmt sheetId="1" sqref="H75" start="0" length="0">
      <dxf>
        <fill>
          <patternFill patternType="solid">
            <bgColor theme="0"/>
          </patternFill>
        </fill>
      </dxf>
    </rfmt>
    <rfmt sheetId="1" sqref="I75" start="0" length="0">
      <dxf>
        <fill>
          <patternFill patternType="solid">
            <bgColor theme="0"/>
          </patternFill>
        </fill>
      </dxf>
    </rfmt>
  </rrc>
  <rrc rId="5161" sId="1" ref="A75:XFD75" action="deleteRow">
    <undo index="32" exp="area" ref3D="1" dr="$A$937:$XFD$939" dn="Z_D9B90A86_BE39_4FED_8226_084809D277F3_.wvu.Rows" sId="1"/>
    <undo index="30" exp="area" ref3D="1" dr="$A$877:$XFD$880" dn="Z_D9B90A86_BE39_4FED_8226_084809D277F3_.wvu.Rows" sId="1"/>
    <undo index="28" exp="area" ref3D="1" dr="$A$843:$XFD$848" dn="Z_D9B90A86_BE39_4FED_8226_084809D277F3_.wvu.Rows" sId="1"/>
    <undo index="26" exp="area" ref3D="1" dr="$A$827:$XFD$830" dn="Z_D9B90A86_BE39_4FED_8226_084809D277F3_.wvu.Rows" sId="1"/>
    <undo index="24" exp="area" ref3D="1" dr="$A$698:$XFD$701" dn="Z_D9B90A86_BE39_4FED_8226_084809D277F3_.wvu.Rows" sId="1"/>
    <undo index="22" exp="area" ref3D="1" dr="$A$573:$XFD$575" dn="Z_D9B90A86_BE39_4FED_8226_084809D277F3_.wvu.Rows" sId="1"/>
    <undo index="20" exp="area" ref3D="1" dr="$A$564:$XFD$567" dn="Z_D9B90A86_BE39_4FED_8226_084809D277F3_.wvu.Rows" sId="1"/>
    <undo index="18" exp="area" ref3D="1" dr="$A$550:$XFD$553" dn="Z_D9B90A86_BE39_4FED_8226_084809D277F3_.wvu.Rows" sId="1"/>
    <undo index="16" exp="area" ref3D="1" dr="$A$473:$XFD$477" dn="Z_D9B90A86_BE39_4FED_8226_084809D277F3_.wvu.Rows" sId="1"/>
    <undo index="14" exp="area" ref3D="1" dr="$A$415:$XFD$418" dn="Z_D9B90A86_BE39_4FED_8226_084809D277F3_.wvu.Rows" sId="1"/>
    <undo index="12" exp="area" ref3D="1" dr="$A$382:$XFD$385" dn="Z_D9B90A86_BE39_4FED_8226_084809D277F3_.wvu.Rows" sId="1"/>
    <undo index="10" exp="area" ref3D="1" dr="$A$360:$XFD$362" dn="Z_D9B90A86_BE39_4FED_8226_084809D277F3_.wvu.Rows" sId="1"/>
    <undo index="8" exp="area" ref3D="1" dr="$A$336:$XFD$339" dn="Z_D9B90A86_BE39_4FED_8226_084809D277F3_.wvu.Rows" sId="1"/>
    <undo index="6" exp="area" ref3D="1" dr="$A$164:$XFD$167" dn="Z_D9B90A86_BE39_4FED_8226_084809D277F3_.wvu.Rows" sId="1"/>
    <undo index="4" exp="area" ref3D="1" dr="$A$121:$XFD$124" dn="Z_D9B90A86_BE39_4FED_8226_084809D277F3_.wvu.Rows" sId="1"/>
    <undo index="2" exp="area" ref3D="1" dr="$A$75:$XFD$76" dn="Z_D9B90A86_BE39_4FED_8226_084809D277F3_.wvu.Rows" sId="1"/>
    <undo index="0" exp="area" ref3D="1" dr="$A$308:$XFD$316" dn="Z_30E81E54_DD45_4653_9DCD_548F6723F554_.wvu.Rows" sId="1"/>
    <rfmt sheetId="1" xfDxf="1" sqref="A75:XFD75" start="0" length="0">
      <dxf>
        <font>
          <b/>
          <name val="Times New Roman"/>
          <scheme val="none"/>
        </font>
        <alignment vertical="center" readingOrder="0"/>
      </dxf>
    </rfmt>
    <rcc rId="0" sId="1" dxf="1">
      <nc r="A75" t="inlineStr">
        <is>
          <t>Субсидии бюджетным учреждениям</t>
        </is>
      </nc>
      <ndxf>
        <font>
          <b val="0"/>
          <name val="Times New Roman Cyr"/>
          <scheme val="none"/>
        </font>
        <fill>
          <patternFill patternType="solid">
            <bgColor theme="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03 2 00 53032</t>
        </is>
      </nc>
      <ndxf>
        <font>
          <b val="0"/>
          <name val="Times New Roman Cyr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>
        <v>610</v>
      </nc>
      <ndxf>
        <font>
          <b val="0"/>
          <name val="Times New Roman Cyr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75">
        <f>D76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75">
        <f>E76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75">
        <f>F76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ill>
          <patternFill patternType="solid">
            <bgColor theme="0"/>
          </patternFill>
        </fill>
      </dxf>
    </rfmt>
    <rfmt sheetId="1" sqref="H75" start="0" length="0">
      <dxf>
        <fill>
          <patternFill patternType="solid">
            <bgColor theme="0"/>
          </patternFill>
        </fill>
      </dxf>
    </rfmt>
    <rfmt sheetId="1" sqref="I75" start="0" length="0">
      <dxf>
        <fill>
          <patternFill patternType="solid">
            <bgColor theme="0"/>
          </patternFill>
        </fill>
      </dxf>
    </rfmt>
  </rrc>
  <rrc rId="5162" sId="1" ref="A75:XFD75" action="deleteRow">
    <undo index="32" exp="area" ref3D="1" dr="$A$936:$XFD$938" dn="Z_D9B90A86_BE39_4FED_8226_084809D277F3_.wvu.Rows" sId="1"/>
    <undo index="30" exp="area" ref3D="1" dr="$A$876:$XFD$879" dn="Z_D9B90A86_BE39_4FED_8226_084809D277F3_.wvu.Rows" sId="1"/>
    <undo index="28" exp="area" ref3D="1" dr="$A$842:$XFD$847" dn="Z_D9B90A86_BE39_4FED_8226_084809D277F3_.wvu.Rows" sId="1"/>
    <undo index="26" exp="area" ref3D="1" dr="$A$826:$XFD$829" dn="Z_D9B90A86_BE39_4FED_8226_084809D277F3_.wvu.Rows" sId="1"/>
    <undo index="24" exp="area" ref3D="1" dr="$A$697:$XFD$700" dn="Z_D9B90A86_BE39_4FED_8226_084809D277F3_.wvu.Rows" sId="1"/>
    <undo index="22" exp="area" ref3D="1" dr="$A$572:$XFD$574" dn="Z_D9B90A86_BE39_4FED_8226_084809D277F3_.wvu.Rows" sId="1"/>
    <undo index="20" exp="area" ref3D="1" dr="$A$563:$XFD$566" dn="Z_D9B90A86_BE39_4FED_8226_084809D277F3_.wvu.Rows" sId="1"/>
    <undo index="18" exp="area" ref3D="1" dr="$A$549:$XFD$552" dn="Z_D9B90A86_BE39_4FED_8226_084809D277F3_.wvu.Rows" sId="1"/>
    <undo index="16" exp="area" ref3D="1" dr="$A$472:$XFD$476" dn="Z_D9B90A86_BE39_4FED_8226_084809D277F3_.wvu.Rows" sId="1"/>
    <undo index="14" exp="area" ref3D="1" dr="$A$414:$XFD$417" dn="Z_D9B90A86_BE39_4FED_8226_084809D277F3_.wvu.Rows" sId="1"/>
    <undo index="12" exp="area" ref3D="1" dr="$A$381:$XFD$384" dn="Z_D9B90A86_BE39_4FED_8226_084809D277F3_.wvu.Rows" sId="1"/>
    <undo index="10" exp="area" ref3D="1" dr="$A$359:$XFD$361" dn="Z_D9B90A86_BE39_4FED_8226_084809D277F3_.wvu.Rows" sId="1"/>
    <undo index="8" exp="area" ref3D="1" dr="$A$335:$XFD$338" dn="Z_D9B90A86_BE39_4FED_8226_084809D277F3_.wvu.Rows" sId="1"/>
    <undo index="6" exp="area" ref3D="1" dr="$A$163:$XFD$166" dn="Z_D9B90A86_BE39_4FED_8226_084809D277F3_.wvu.Rows" sId="1"/>
    <undo index="4" exp="area" ref3D="1" dr="$A$120:$XFD$123" dn="Z_D9B90A86_BE39_4FED_8226_084809D277F3_.wvu.Rows" sId="1"/>
    <undo index="2" exp="area" ref3D="1" dr="$A$75:$XFD$75" dn="Z_D9B90A86_BE39_4FED_8226_084809D277F3_.wvu.Rows" sId="1"/>
    <undo index="0" exp="area" ref3D="1" dr="$A$307:$XFD$315" dn="Z_30E81E54_DD45_4653_9DCD_548F6723F554_.wvu.Rows" sId="1"/>
    <rfmt sheetId="1" xfDxf="1" sqref="A75:XFD75" start="0" length="0">
      <dxf>
        <font>
          <b/>
          <name val="Times New Roman"/>
          <scheme val="none"/>
        </font>
        <alignment vertical="center" readingOrder="0"/>
      </dxf>
    </rfmt>
    <rcc rId="0" sId="1" dxf="1">
      <nc r="A75" t="inlineStr">
        <is>
          <t>Субсидии бюджетным учреждениям на  иные цели</t>
        </is>
      </nc>
      <ndxf>
        <font>
          <b val="0"/>
          <name val="Times New Roman Cyr"/>
          <scheme val="none"/>
        </font>
        <fill>
          <patternFill patternType="solid">
            <bgColor theme="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03 2 00 53032</t>
        </is>
      </nc>
      <ndxf>
        <font>
          <b val="0"/>
          <name val="Times New Roman Cyr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>
        <v>612</v>
      </nc>
      <ndxf>
        <font>
          <b val="0"/>
          <name val="Times New Roman Cyr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75">
        <v>0</v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75">
        <v>0</v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75">
        <v>0</v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ill>
          <patternFill patternType="solid">
            <bgColor theme="0"/>
          </patternFill>
        </fill>
      </dxf>
    </rfmt>
    <rfmt sheetId="1" sqref="H75" start="0" length="0">
      <dxf>
        <fill>
          <patternFill patternType="solid">
            <bgColor theme="0"/>
          </patternFill>
        </fill>
      </dxf>
    </rfmt>
    <rfmt sheetId="1" sqref="I75" start="0" length="0">
      <dxf>
        <fill>
          <patternFill patternType="solid">
            <bgColor theme="0"/>
          </patternFill>
        </fill>
      </dxf>
    </rfmt>
  </rrc>
  <rrc rId="5163" sId="1" ref="A119:XFD119" action="deleteRow">
    <undo index="7" exp="ref" v="1" dr="F119" r="F74" sId="1"/>
    <undo index="7" exp="ref" v="1" dr="E119" r="E74" sId="1"/>
    <undo index="7" exp="ref" v="1" dr="D119" r="D74" sId="1"/>
    <undo index="32" exp="area" ref3D="1" dr="$A$935:$XFD$937" dn="Z_D9B90A86_BE39_4FED_8226_084809D277F3_.wvu.Rows" sId="1"/>
    <undo index="30" exp="area" ref3D="1" dr="$A$875:$XFD$878" dn="Z_D9B90A86_BE39_4FED_8226_084809D277F3_.wvu.Rows" sId="1"/>
    <undo index="28" exp="area" ref3D="1" dr="$A$841:$XFD$846" dn="Z_D9B90A86_BE39_4FED_8226_084809D277F3_.wvu.Rows" sId="1"/>
    <undo index="26" exp="area" ref3D="1" dr="$A$825:$XFD$828" dn="Z_D9B90A86_BE39_4FED_8226_084809D277F3_.wvu.Rows" sId="1"/>
    <undo index="24" exp="area" ref3D="1" dr="$A$696:$XFD$699" dn="Z_D9B90A86_BE39_4FED_8226_084809D277F3_.wvu.Rows" sId="1"/>
    <undo index="22" exp="area" ref3D="1" dr="$A$571:$XFD$573" dn="Z_D9B90A86_BE39_4FED_8226_084809D277F3_.wvu.Rows" sId="1"/>
    <undo index="20" exp="area" ref3D="1" dr="$A$562:$XFD$565" dn="Z_D9B90A86_BE39_4FED_8226_084809D277F3_.wvu.Rows" sId="1"/>
    <undo index="18" exp="area" ref3D="1" dr="$A$548:$XFD$551" dn="Z_D9B90A86_BE39_4FED_8226_084809D277F3_.wvu.Rows" sId="1"/>
    <undo index="16" exp="area" ref3D="1" dr="$A$471:$XFD$475" dn="Z_D9B90A86_BE39_4FED_8226_084809D277F3_.wvu.Rows" sId="1"/>
    <undo index="14" exp="area" ref3D="1" dr="$A$413:$XFD$416" dn="Z_D9B90A86_BE39_4FED_8226_084809D277F3_.wvu.Rows" sId="1"/>
    <undo index="12" exp="area" ref3D="1" dr="$A$380:$XFD$383" dn="Z_D9B90A86_BE39_4FED_8226_084809D277F3_.wvu.Rows" sId="1"/>
    <undo index="10" exp="area" ref3D="1" dr="$A$358:$XFD$360" dn="Z_D9B90A86_BE39_4FED_8226_084809D277F3_.wvu.Rows" sId="1"/>
    <undo index="8" exp="area" ref3D="1" dr="$A$334:$XFD$337" dn="Z_D9B90A86_BE39_4FED_8226_084809D277F3_.wvu.Rows" sId="1"/>
    <undo index="6" exp="area" ref3D="1" dr="$A$162:$XFD$165" dn="Z_D9B90A86_BE39_4FED_8226_084809D277F3_.wvu.Rows" sId="1"/>
    <undo index="4" exp="area" ref3D="1" dr="$A$119:$XFD$122" dn="Z_D9B90A86_BE39_4FED_8226_084809D277F3_.wvu.Rows" sId="1"/>
    <undo index="0" exp="area" ref3D="1" dr="$A$306:$XFD$314" dn="Z_30E81E54_DD45_4653_9DCD_548F6723F554_.wvu.Rows" sId="1"/>
    <rfmt sheetId="1" xfDxf="1" sqref="A119:XFD119" start="0" length="0">
      <dxf>
        <font>
          <name val="Times New Roman"/>
          <scheme val="none"/>
        </font>
        <alignment vertical="center" readingOrder="0"/>
      </dxf>
    </rfmt>
    <rcc rId="0" sId="1" dxf="1">
      <nc r="A119" t="inlineStr">
        <is>
          <t>Софинансирование капитальных вложений в объекты муниципальной собственности муниципальных образований Архангельской области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19" t="inlineStr">
        <is>
          <t>03 2 00 S0310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119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119">
        <f>D120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9">
        <f>E120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9">
        <f>F120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ill>
          <patternFill patternType="solid">
            <bgColor theme="0"/>
          </patternFill>
        </fill>
      </dxf>
    </rfmt>
    <rfmt sheetId="1" sqref="H119" start="0" length="0">
      <dxf>
        <fill>
          <patternFill patternType="solid">
            <bgColor theme="0"/>
          </patternFill>
        </fill>
      </dxf>
    </rfmt>
    <rfmt sheetId="1" sqref="I119" start="0" length="0">
      <dxf>
        <fill>
          <patternFill patternType="solid">
            <bgColor theme="0"/>
          </patternFill>
        </fill>
      </dxf>
    </rfmt>
  </rrc>
  <rrc rId="5164" sId="1" ref="A119:XFD119" action="deleteRow">
    <undo index="32" exp="area" ref3D="1" dr="$A$934:$XFD$936" dn="Z_D9B90A86_BE39_4FED_8226_084809D277F3_.wvu.Rows" sId="1"/>
    <undo index="30" exp="area" ref3D="1" dr="$A$874:$XFD$877" dn="Z_D9B90A86_BE39_4FED_8226_084809D277F3_.wvu.Rows" sId="1"/>
    <undo index="28" exp="area" ref3D="1" dr="$A$840:$XFD$845" dn="Z_D9B90A86_BE39_4FED_8226_084809D277F3_.wvu.Rows" sId="1"/>
    <undo index="26" exp="area" ref3D="1" dr="$A$824:$XFD$827" dn="Z_D9B90A86_BE39_4FED_8226_084809D277F3_.wvu.Rows" sId="1"/>
    <undo index="24" exp="area" ref3D="1" dr="$A$695:$XFD$698" dn="Z_D9B90A86_BE39_4FED_8226_084809D277F3_.wvu.Rows" sId="1"/>
    <undo index="22" exp="area" ref3D="1" dr="$A$570:$XFD$572" dn="Z_D9B90A86_BE39_4FED_8226_084809D277F3_.wvu.Rows" sId="1"/>
    <undo index="20" exp="area" ref3D="1" dr="$A$561:$XFD$564" dn="Z_D9B90A86_BE39_4FED_8226_084809D277F3_.wvu.Rows" sId="1"/>
    <undo index="18" exp="area" ref3D="1" dr="$A$547:$XFD$550" dn="Z_D9B90A86_BE39_4FED_8226_084809D277F3_.wvu.Rows" sId="1"/>
    <undo index="16" exp="area" ref3D="1" dr="$A$470:$XFD$474" dn="Z_D9B90A86_BE39_4FED_8226_084809D277F3_.wvu.Rows" sId="1"/>
    <undo index="14" exp="area" ref3D="1" dr="$A$412:$XFD$415" dn="Z_D9B90A86_BE39_4FED_8226_084809D277F3_.wvu.Rows" sId="1"/>
    <undo index="12" exp="area" ref3D="1" dr="$A$379:$XFD$382" dn="Z_D9B90A86_BE39_4FED_8226_084809D277F3_.wvu.Rows" sId="1"/>
    <undo index="10" exp="area" ref3D="1" dr="$A$357:$XFD$359" dn="Z_D9B90A86_BE39_4FED_8226_084809D277F3_.wvu.Rows" sId="1"/>
    <undo index="8" exp="area" ref3D="1" dr="$A$333:$XFD$336" dn="Z_D9B90A86_BE39_4FED_8226_084809D277F3_.wvu.Rows" sId="1"/>
    <undo index="6" exp="area" ref3D="1" dr="$A$161:$XFD$164" dn="Z_D9B90A86_BE39_4FED_8226_084809D277F3_.wvu.Rows" sId="1"/>
    <undo index="4" exp="area" ref3D="1" dr="$A$119:$XFD$121" dn="Z_D9B90A86_BE39_4FED_8226_084809D277F3_.wvu.Rows" sId="1"/>
    <undo index="0" exp="area" ref3D="1" dr="$A$305:$XFD$313" dn="Z_30E81E54_DD45_4653_9DCD_548F6723F554_.wvu.Rows" sId="1"/>
    <rfmt sheetId="1" xfDxf="1" sqref="A119:XFD119" start="0" length="0">
      <dxf>
        <font>
          <name val="Times New Roman"/>
          <scheme val="none"/>
        </font>
        <alignment vertical="center" readingOrder="0"/>
      </dxf>
    </rfmt>
    <rcc rId="0" sId="1" dxf="1">
      <nc r="A119" t="inlineStr">
        <is>
          <t>Капитальные вложения в объекты государственной (муниципальной) собственности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19" t="inlineStr">
        <is>
          <t>03 2 00 S0310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19">
        <v>400</v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119">
        <f>D120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9">
        <f>E120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9">
        <f>F120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ill>
          <patternFill patternType="solid">
            <bgColor theme="0"/>
          </patternFill>
        </fill>
      </dxf>
    </rfmt>
    <rfmt sheetId="1" sqref="H119" start="0" length="0">
      <dxf>
        <fill>
          <patternFill patternType="solid">
            <bgColor theme="0"/>
          </patternFill>
        </fill>
      </dxf>
    </rfmt>
    <rfmt sheetId="1" sqref="I119" start="0" length="0">
      <dxf>
        <fill>
          <patternFill patternType="solid">
            <bgColor theme="0"/>
          </patternFill>
        </fill>
      </dxf>
    </rfmt>
  </rrc>
  <rrc rId="5165" sId="1" ref="A119:XFD119" action="deleteRow">
    <undo index="32" exp="area" ref3D="1" dr="$A$933:$XFD$935" dn="Z_D9B90A86_BE39_4FED_8226_084809D277F3_.wvu.Rows" sId="1"/>
    <undo index="30" exp="area" ref3D="1" dr="$A$873:$XFD$876" dn="Z_D9B90A86_BE39_4FED_8226_084809D277F3_.wvu.Rows" sId="1"/>
    <undo index="28" exp="area" ref3D="1" dr="$A$839:$XFD$844" dn="Z_D9B90A86_BE39_4FED_8226_084809D277F3_.wvu.Rows" sId="1"/>
    <undo index="26" exp="area" ref3D="1" dr="$A$823:$XFD$826" dn="Z_D9B90A86_BE39_4FED_8226_084809D277F3_.wvu.Rows" sId="1"/>
    <undo index="24" exp="area" ref3D="1" dr="$A$694:$XFD$697" dn="Z_D9B90A86_BE39_4FED_8226_084809D277F3_.wvu.Rows" sId="1"/>
    <undo index="22" exp="area" ref3D="1" dr="$A$569:$XFD$571" dn="Z_D9B90A86_BE39_4FED_8226_084809D277F3_.wvu.Rows" sId="1"/>
    <undo index="20" exp="area" ref3D="1" dr="$A$560:$XFD$563" dn="Z_D9B90A86_BE39_4FED_8226_084809D277F3_.wvu.Rows" sId="1"/>
    <undo index="18" exp="area" ref3D="1" dr="$A$546:$XFD$549" dn="Z_D9B90A86_BE39_4FED_8226_084809D277F3_.wvu.Rows" sId="1"/>
    <undo index="16" exp="area" ref3D="1" dr="$A$469:$XFD$473" dn="Z_D9B90A86_BE39_4FED_8226_084809D277F3_.wvu.Rows" sId="1"/>
    <undo index="14" exp="area" ref3D="1" dr="$A$411:$XFD$414" dn="Z_D9B90A86_BE39_4FED_8226_084809D277F3_.wvu.Rows" sId="1"/>
    <undo index="12" exp="area" ref3D="1" dr="$A$378:$XFD$381" dn="Z_D9B90A86_BE39_4FED_8226_084809D277F3_.wvu.Rows" sId="1"/>
    <undo index="10" exp="area" ref3D="1" dr="$A$356:$XFD$358" dn="Z_D9B90A86_BE39_4FED_8226_084809D277F3_.wvu.Rows" sId="1"/>
    <undo index="8" exp="area" ref3D="1" dr="$A$332:$XFD$335" dn="Z_D9B90A86_BE39_4FED_8226_084809D277F3_.wvu.Rows" sId="1"/>
    <undo index="6" exp="area" ref3D="1" dr="$A$160:$XFD$163" dn="Z_D9B90A86_BE39_4FED_8226_084809D277F3_.wvu.Rows" sId="1"/>
    <undo index="4" exp="area" ref3D="1" dr="$A$119:$XFD$120" dn="Z_D9B90A86_BE39_4FED_8226_084809D277F3_.wvu.Rows" sId="1"/>
    <undo index="0" exp="area" ref3D="1" dr="$A$304:$XFD$312" dn="Z_30E81E54_DD45_4653_9DCD_548F6723F554_.wvu.Rows" sId="1"/>
    <rfmt sheetId="1" xfDxf="1" sqref="A119:XFD119" start="0" length="0">
      <dxf>
        <font>
          <name val="Times New Roman"/>
          <scheme val="none"/>
        </font>
        <alignment vertical="center" readingOrder="0"/>
      </dxf>
    </rfmt>
    <rcc rId="0" sId="1" dxf="1">
      <nc r="A119" t="inlineStr">
        <is>
          <t>Бюджетные инвестиции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19" t="inlineStr">
        <is>
          <t>03 2 00 S0310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19">
        <v>410</v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119">
        <f>D120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19">
        <f>E120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19">
        <f>F120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ill>
          <patternFill patternType="solid">
            <bgColor theme="0"/>
          </patternFill>
        </fill>
      </dxf>
    </rfmt>
    <rfmt sheetId="1" sqref="H119" start="0" length="0">
      <dxf>
        <fill>
          <patternFill patternType="solid">
            <bgColor theme="0"/>
          </patternFill>
        </fill>
      </dxf>
    </rfmt>
    <rfmt sheetId="1" sqref="I119" start="0" length="0">
      <dxf>
        <fill>
          <patternFill patternType="solid">
            <bgColor theme="0"/>
          </patternFill>
        </fill>
      </dxf>
    </rfmt>
  </rrc>
  <rrc rId="5166" sId="1" ref="A119:XFD119" action="deleteRow">
    <undo index="32" exp="area" ref3D="1" dr="$A$932:$XFD$934" dn="Z_D9B90A86_BE39_4FED_8226_084809D277F3_.wvu.Rows" sId="1"/>
    <undo index="30" exp="area" ref3D="1" dr="$A$872:$XFD$875" dn="Z_D9B90A86_BE39_4FED_8226_084809D277F3_.wvu.Rows" sId="1"/>
    <undo index="28" exp="area" ref3D="1" dr="$A$838:$XFD$843" dn="Z_D9B90A86_BE39_4FED_8226_084809D277F3_.wvu.Rows" sId="1"/>
    <undo index="26" exp="area" ref3D="1" dr="$A$822:$XFD$825" dn="Z_D9B90A86_BE39_4FED_8226_084809D277F3_.wvu.Rows" sId="1"/>
    <undo index="24" exp="area" ref3D="1" dr="$A$693:$XFD$696" dn="Z_D9B90A86_BE39_4FED_8226_084809D277F3_.wvu.Rows" sId="1"/>
    <undo index="22" exp="area" ref3D="1" dr="$A$568:$XFD$570" dn="Z_D9B90A86_BE39_4FED_8226_084809D277F3_.wvu.Rows" sId="1"/>
    <undo index="20" exp="area" ref3D="1" dr="$A$559:$XFD$562" dn="Z_D9B90A86_BE39_4FED_8226_084809D277F3_.wvu.Rows" sId="1"/>
    <undo index="18" exp="area" ref3D="1" dr="$A$545:$XFD$548" dn="Z_D9B90A86_BE39_4FED_8226_084809D277F3_.wvu.Rows" sId="1"/>
    <undo index="16" exp="area" ref3D="1" dr="$A$468:$XFD$472" dn="Z_D9B90A86_BE39_4FED_8226_084809D277F3_.wvu.Rows" sId="1"/>
    <undo index="14" exp="area" ref3D="1" dr="$A$410:$XFD$413" dn="Z_D9B90A86_BE39_4FED_8226_084809D277F3_.wvu.Rows" sId="1"/>
    <undo index="12" exp="area" ref3D="1" dr="$A$377:$XFD$380" dn="Z_D9B90A86_BE39_4FED_8226_084809D277F3_.wvu.Rows" sId="1"/>
    <undo index="10" exp="area" ref3D="1" dr="$A$355:$XFD$357" dn="Z_D9B90A86_BE39_4FED_8226_084809D277F3_.wvu.Rows" sId="1"/>
    <undo index="8" exp="area" ref3D="1" dr="$A$331:$XFD$334" dn="Z_D9B90A86_BE39_4FED_8226_084809D277F3_.wvu.Rows" sId="1"/>
    <undo index="6" exp="area" ref3D="1" dr="$A$159:$XFD$162" dn="Z_D9B90A86_BE39_4FED_8226_084809D277F3_.wvu.Rows" sId="1"/>
    <undo index="4" exp="area" ref3D="1" dr="$A$119:$XFD$119" dn="Z_D9B90A86_BE39_4FED_8226_084809D277F3_.wvu.Rows" sId="1"/>
    <undo index="0" exp="area" ref3D="1" dr="$A$303:$XFD$311" dn="Z_30E81E54_DD45_4653_9DCD_548F6723F554_.wvu.Rows" sId="1"/>
    <rfmt sheetId="1" xfDxf="1" sqref="A119:XFD119" start="0" length="0">
      <dxf>
        <font>
          <name val="Times New Roman"/>
          <scheme val="none"/>
        </font>
        <alignment vertical="center" readingOrder="0"/>
      </dxf>
    </rfmt>
    <rcc rId="0" sId="1" dxf="1">
      <nc r="A119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19" t="inlineStr">
        <is>
          <t>03 2 00 S0310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119">
        <v>414</v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119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19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19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ill>
          <patternFill patternType="solid">
            <bgColor theme="0"/>
          </patternFill>
        </fill>
      </dxf>
    </rfmt>
    <rfmt sheetId="1" sqref="H119" start="0" length="0">
      <dxf>
        <fill>
          <patternFill patternType="solid">
            <bgColor theme="0"/>
          </patternFill>
        </fill>
      </dxf>
    </rfmt>
    <rfmt sheetId="1" sqref="I119" start="0" length="0">
      <dxf>
        <fill>
          <patternFill patternType="solid">
            <bgColor theme="0"/>
          </patternFill>
        </fill>
      </dxf>
    </rfmt>
  </rrc>
  <rrc rId="5167" sId="1" ref="A158:XFD158" action="deleteRow">
    <undo index="11" exp="ref" v="1" dr="F158" r="F74" sId="1"/>
    <undo index="11" exp="ref" v="1" dr="E158" r="E74" sId="1"/>
    <undo index="11" exp="ref" v="1" dr="D158" r="D74" sId="1"/>
    <undo index="32" exp="area" ref3D="1" dr="$A$931:$XFD$933" dn="Z_D9B90A86_BE39_4FED_8226_084809D277F3_.wvu.Rows" sId="1"/>
    <undo index="30" exp="area" ref3D="1" dr="$A$871:$XFD$874" dn="Z_D9B90A86_BE39_4FED_8226_084809D277F3_.wvu.Rows" sId="1"/>
    <undo index="28" exp="area" ref3D="1" dr="$A$837:$XFD$842" dn="Z_D9B90A86_BE39_4FED_8226_084809D277F3_.wvu.Rows" sId="1"/>
    <undo index="26" exp="area" ref3D="1" dr="$A$821:$XFD$824" dn="Z_D9B90A86_BE39_4FED_8226_084809D277F3_.wvu.Rows" sId="1"/>
    <undo index="24" exp="area" ref3D="1" dr="$A$692:$XFD$695" dn="Z_D9B90A86_BE39_4FED_8226_084809D277F3_.wvu.Rows" sId="1"/>
    <undo index="22" exp="area" ref3D="1" dr="$A$567:$XFD$569" dn="Z_D9B90A86_BE39_4FED_8226_084809D277F3_.wvu.Rows" sId="1"/>
    <undo index="20" exp="area" ref3D="1" dr="$A$558:$XFD$561" dn="Z_D9B90A86_BE39_4FED_8226_084809D277F3_.wvu.Rows" sId="1"/>
    <undo index="18" exp="area" ref3D="1" dr="$A$544:$XFD$547" dn="Z_D9B90A86_BE39_4FED_8226_084809D277F3_.wvu.Rows" sId="1"/>
    <undo index="16" exp="area" ref3D="1" dr="$A$467:$XFD$471" dn="Z_D9B90A86_BE39_4FED_8226_084809D277F3_.wvu.Rows" sId="1"/>
    <undo index="14" exp="area" ref3D="1" dr="$A$409:$XFD$412" dn="Z_D9B90A86_BE39_4FED_8226_084809D277F3_.wvu.Rows" sId="1"/>
    <undo index="12" exp="area" ref3D="1" dr="$A$376:$XFD$379" dn="Z_D9B90A86_BE39_4FED_8226_084809D277F3_.wvu.Rows" sId="1"/>
    <undo index="10" exp="area" ref3D="1" dr="$A$354:$XFD$356" dn="Z_D9B90A86_BE39_4FED_8226_084809D277F3_.wvu.Rows" sId="1"/>
    <undo index="8" exp="area" ref3D="1" dr="$A$330:$XFD$333" dn="Z_D9B90A86_BE39_4FED_8226_084809D277F3_.wvu.Rows" sId="1"/>
    <undo index="6" exp="area" ref3D="1" dr="$A$158:$XFD$161" dn="Z_D9B90A86_BE39_4FED_8226_084809D277F3_.wvu.Rows" sId="1"/>
    <undo index="0" exp="area" ref3D="1" dr="$A$302:$XFD$310" dn="Z_30E81E54_DD45_4653_9DCD_548F6723F554_.wvu.Rows" sId="1"/>
    <rfmt sheetId="1" xfDxf="1" sqref="A158:XFD158" start="0" length="0">
      <dxf>
        <font>
          <name val="Times New Roman"/>
          <scheme val="none"/>
        </font>
        <alignment vertical="center" readingOrder="0"/>
      </dxf>
    </rfmt>
    <rcc rId="0" sId="1" dxf="1">
      <nc r="A158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области, которым не предусмотрено федеральное софинансирование</t>
        </is>
      </nc>
      <ndxf>
        <fill>
          <patternFill patternType="solid">
            <bgColor theme="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158" t="inlineStr">
        <is>
          <t>03 2 00 S6600</t>
        </is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158" start="0" length="0">
      <dxf>
        <numFmt numFmtId="166" formatCode="_(* #,##0_);_(* \(#,##0\);_(* &quot;-&quot;??_);_(@_)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158">
        <f>D160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8">
        <f>E160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8">
        <f>F160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ill>
          <patternFill patternType="solid">
            <bgColor theme="0"/>
          </patternFill>
        </fill>
      </dxf>
    </rfmt>
    <rfmt sheetId="1" sqref="H158" start="0" length="0">
      <dxf>
        <fill>
          <patternFill patternType="solid">
            <bgColor theme="0"/>
          </patternFill>
        </fill>
      </dxf>
    </rfmt>
    <rfmt sheetId="1" sqref="I158" start="0" length="0">
      <dxf>
        <fill>
          <patternFill patternType="solid">
            <bgColor theme="0"/>
          </patternFill>
        </fill>
      </dxf>
    </rfmt>
  </rrc>
  <rrc rId="5168" sId="1" ref="A158:XFD158" action="deleteRow">
    <undo index="32" exp="area" ref3D="1" dr="$A$930:$XFD$932" dn="Z_D9B90A86_BE39_4FED_8226_084809D277F3_.wvu.Rows" sId="1"/>
    <undo index="30" exp="area" ref3D="1" dr="$A$870:$XFD$873" dn="Z_D9B90A86_BE39_4FED_8226_084809D277F3_.wvu.Rows" sId="1"/>
    <undo index="28" exp="area" ref3D="1" dr="$A$836:$XFD$841" dn="Z_D9B90A86_BE39_4FED_8226_084809D277F3_.wvu.Rows" sId="1"/>
    <undo index="26" exp="area" ref3D="1" dr="$A$820:$XFD$823" dn="Z_D9B90A86_BE39_4FED_8226_084809D277F3_.wvu.Rows" sId="1"/>
    <undo index="24" exp="area" ref3D="1" dr="$A$691:$XFD$694" dn="Z_D9B90A86_BE39_4FED_8226_084809D277F3_.wvu.Rows" sId="1"/>
    <undo index="22" exp="area" ref3D="1" dr="$A$566:$XFD$568" dn="Z_D9B90A86_BE39_4FED_8226_084809D277F3_.wvu.Rows" sId="1"/>
    <undo index="20" exp="area" ref3D="1" dr="$A$557:$XFD$560" dn="Z_D9B90A86_BE39_4FED_8226_084809D277F3_.wvu.Rows" sId="1"/>
    <undo index="18" exp="area" ref3D="1" dr="$A$543:$XFD$546" dn="Z_D9B90A86_BE39_4FED_8226_084809D277F3_.wvu.Rows" sId="1"/>
    <undo index="16" exp="area" ref3D="1" dr="$A$466:$XFD$470" dn="Z_D9B90A86_BE39_4FED_8226_084809D277F3_.wvu.Rows" sId="1"/>
    <undo index="14" exp="area" ref3D="1" dr="$A$408:$XFD$411" dn="Z_D9B90A86_BE39_4FED_8226_084809D277F3_.wvu.Rows" sId="1"/>
    <undo index="12" exp="area" ref3D="1" dr="$A$375:$XFD$378" dn="Z_D9B90A86_BE39_4FED_8226_084809D277F3_.wvu.Rows" sId="1"/>
    <undo index="10" exp="area" ref3D="1" dr="$A$353:$XFD$355" dn="Z_D9B90A86_BE39_4FED_8226_084809D277F3_.wvu.Rows" sId="1"/>
    <undo index="8" exp="area" ref3D="1" dr="$A$329:$XFD$332" dn="Z_D9B90A86_BE39_4FED_8226_084809D277F3_.wvu.Rows" sId="1"/>
    <undo index="6" exp="area" ref3D="1" dr="$A$158:$XFD$160" dn="Z_D9B90A86_BE39_4FED_8226_084809D277F3_.wvu.Rows" sId="1"/>
    <undo index="0" exp="area" ref3D="1" dr="$A$301:$XFD$309" dn="Z_30E81E54_DD45_4653_9DCD_548F6723F554_.wvu.Rows" sId="1"/>
    <rfmt sheetId="1" xfDxf="1" sqref="A158:XFD158" start="0" length="0">
      <dxf>
        <font>
          <name val="Times New Roman"/>
          <scheme val="none"/>
        </font>
        <alignment vertical="center" readingOrder="0"/>
      </dxf>
    </rfmt>
    <rcc rId="0" sId="1" dxf="1">
      <nc r="A158" t="inlineStr">
        <is>
          <t>Предоставление субсидий бюджетным, автономным учреждениям и иным некоммерческим организациям</t>
        </is>
      </nc>
      <ndxf>
        <numFmt numFmtId="30" formatCode="@"/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03 2 00 S6600</t>
        </is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>
        <v>600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58">
        <f>D159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8">
        <f>E159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8">
        <f>F159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ill>
          <patternFill patternType="solid">
            <bgColor theme="0"/>
          </patternFill>
        </fill>
      </dxf>
    </rfmt>
    <rfmt sheetId="1" sqref="H158" start="0" length="0">
      <dxf>
        <fill>
          <patternFill patternType="solid">
            <bgColor theme="0"/>
          </patternFill>
        </fill>
      </dxf>
    </rfmt>
    <rfmt sheetId="1" sqref="I158" start="0" length="0">
      <dxf>
        <fill>
          <patternFill patternType="solid">
            <bgColor theme="0"/>
          </patternFill>
        </fill>
      </dxf>
    </rfmt>
  </rrc>
  <rrc rId="5169" sId="1" ref="A158:XFD158" action="deleteRow">
    <undo index="32" exp="area" ref3D="1" dr="$A$929:$XFD$931" dn="Z_D9B90A86_BE39_4FED_8226_084809D277F3_.wvu.Rows" sId="1"/>
    <undo index="30" exp="area" ref3D="1" dr="$A$869:$XFD$872" dn="Z_D9B90A86_BE39_4FED_8226_084809D277F3_.wvu.Rows" sId="1"/>
    <undo index="28" exp="area" ref3D="1" dr="$A$835:$XFD$840" dn="Z_D9B90A86_BE39_4FED_8226_084809D277F3_.wvu.Rows" sId="1"/>
    <undo index="26" exp="area" ref3D="1" dr="$A$819:$XFD$822" dn="Z_D9B90A86_BE39_4FED_8226_084809D277F3_.wvu.Rows" sId="1"/>
    <undo index="24" exp="area" ref3D="1" dr="$A$690:$XFD$693" dn="Z_D9B90A86_BE39_4FED_8226_084809D277F3_.wvu.Rows" sId="1"/>
    <undo index="22" exp="area" ref3D="1" dr="$A$565:$XFD$567" dn="Z_D9B90A86_BE39_4FED_8226_084809D277F3_.wvu.Rows" sId="1"/>
    <undo index="20" exp="area" ref3D="1" dr="$A$556:$XFD$559" dn="Z_D9B90A86_BE39_4FED_8226_084809D277F3_.wvu.Rows" sId="1"/>
    <undo index="18" exp="area" ref3D="1" dr="$A$542:$XFD$545" dn="Z_D9B90A86_BE39_4FED_8226_084809D277F3_.wvu.Rows" sId="1"/>
    <undo index="16" exp="area" ref3D="1" dr="$A$465:$XFD$469" dn="Z_D9B90A86_BE39_4FED_8226_084809D277F3_.wvu.Rows" sId="1"/>
    <undo index="14" exp="area" ref3D="1" dr="$A$407:$XFD$410" dn="Z_D9B90A86_BE39_4FED_8226_084809D277F3_.wvu.Rows" sId="1"/>
    <undo index="12" exp="area" ref3D="1" dr="$A$374:$XFD$377" dn="Z_D9B90A86_BE39_4FED_8226_084809D277F3_.wvu.Rows" sId="1"/>
    <undo index="10" exp="area" ref3D="1" dr="$A$352:$XFD$354" dn="Z_D9B90A86_BE39_4FED_8226_084809D277F3_.wvu.Rows" sId="1"/>
    <undo index="8" exp="area" ref3D="1" dr="$A$328:$XFD$331" dn="Z_D9B90A86_BE39_4FED_8226_084809D277F3_.wvu.Rows" sId="1"/>
    <undo index="6" exp="area" ref3D="1" dr="$A$158:$XFD$159" dn="Z_D9B90A86_BE39_4FED_8226_084809D277F3_.wvu.Rows" sId="1"/>
    <undo index="0" exp="area" ref3D="1" dr="$A$300:$XFD$308" dn="Z_30E81E54_DD45_4653_9DCD_548F6723F554_.wvu.Rows" sId="1"/>
    <rfmt sheetId="1" xfDxf="1" sqref="A158:XFD158" start="0" length="0">
      <dxf>
        <font>
          <name val="Times New Roman"/>
          <scheme val="none"/>
        </font>
        <alignment vertical="center" readingOrder="0"/>
      </dxf>
    </rfmt>
    <rcc rId="0" sId="1" dxf="1">
      <nc r="A158" t="inlineStr">
        <is>
          <t>Субсидии бюджетным учреждениям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03 2 00 S6600</t>
        </is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>
        <v>610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58">
        <f>D159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158">
        <f>E159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58">
        <f>F159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ill>
          <patternFill patternType="solid">
            <bgColor theme="0"/>
          </patternFill>
        </fill>
      </dxf>
    </rfmt>
    <rfmt sheetId="1" sqref="H158" start="0" length="0">
      <dxf>
        <fill>
          <patternFill patternType="solid">
            <bgColor theme="0"/>
          </patternFill>
        </fill>
      </dxf>
    </rfmt>
    <rfmt sheetId="1" sqref="I158" start="0" length="0">
      <dxf>
        <fill>
          <patternFill patternType="solid">
            <bgColor theme="0"/>
          </patternFill>
        </fill>
      </dxf>
    </rfmt>
  </rrc>
  <rrc rId="5170" sId="1" ref="A158:XFD158" action="deleteRow">
    <undo index="32" exp="area" ref3D="1" dr="$A$928:$XFD$930" dn="Z_D9B90A86_BE39_4FED_8226_084809D277F3_.wvu.Rows" sId="1"/>
    <undo index="30" exp="area" ref3D="1" dr="$A$868:$XFD$871" dn="Z_D9B90A86_BE39_4FED_8226_084809D277F3_.wvu.Rows" sId="1"/>
    <undo index="28" exp="area" ref3D="1" dr="$A$834:$XFD$839" dn="Z_D9B90A86_BE39_4FED_8226_084809D277F3_.wvu.Rows" sId="1"/>
    <undo index="26" exp="area" ref3D="1" dr="$A$818:$XFD$821" dn="Z_D9B90A86_BE39_4FED_8226_084809D277F3_.wvu.Rows" sId="1"/>
    <undo index="24" exp="area" ref3D="1" dr="$A$689:$XFD$692" dn="Z_D9B90A86_BE39_4FED_8226_084809D277F3_.wvu.Rows" sId="1"/>
    <undo index="22" exp="area" ref3D="1" dr="$A$564:$XFD$566" dn="Z_D9B90A86_BE39_4FED_8226_084809D277F3_.wvu.Rows" sId="1"/>
    <undo index="20" exp="area" ref3D="1" dr="$A$555:$XFD$558" dn="Z_D9B90A86_BE39_4FED_8226_084809D277F3_.wvu.Rows" sId="1"/>
    <undo index="18" exp="area" ref3D="1" dr="$A$541:$XFD$544" dn="Z_D9B90A86_BE39_4FED_8226_084809D277F3_.wvu.Rows" sId="1"/>
    <undo index="16" exp="area" ref3D="1" dr="$A$464:$XFD$468" dn="Z_D9B90A86_BE39_4FED_8226_084809D277F3_.wvu.Rows" sId="1"/>
    <undo index="14" exp="area" ref3D="1" dr="$A$406:$XFD$409" dn="Z_D9B90A86_BE39_4FED_8226_084809D277F3_.wvu.Rows" sId="1"/>
    <undo index="12" exp="area" ref3D="1" dr="$A$373:$XFD$376" dn="Z_D9B90A86_BE39_4FED_8226_084809D277F3_.wvu.Rows" sId="1"/>
    <undo index="10" exp="area" ref3D="1" dr="$A$351:$XFD$353" dn="Z_D9B90A86_BE39_4FED_8226_084809D277F3_.wvu.Rows" sId="1"/>
    <undo index="8" exp="area" ref3D="1" dr="$A$327:$XFD$330" dn="Z_D9B90A86_BE39_4FED_8226_084809D277F3_.wvu.Rows" sId="1"/>
    <undo index="6" exp="area" ref3D="1" dr="$A$158:$XFD$158" dn="Z_D9B90A86_BE39_4FED_8226_084809D277F3_.wvu.Rows" sId="1"/>
    <undo index="0" exp="area" ref3D="1" dr="$A$299:$XFD$307" dn="Z_30E81E54_DD45_4653_9DCD_548F6723F554_.wvu.Rows" sId="1"/>
    <rfmt sheetId="1" xfDxf="1" sqref="A158:XFD158" start="0" length="0">
      <dxf>
        <font>
          <name val="Times New Roman"/>
          <scheme val="none"/>
        </font>
        <alignment vertical="center" readingOrder="0"/>
      </dxf>
    </rfmt>
    <rcc rId="0" sId="1" dxf="1">
      <nc r="A158" t="inlineStr">
        <is>
          <t>Субсидии бюджетным учреждениям на  иные цели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03 2 00 S6600</t>
        </is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>
        <v>612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5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15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15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ill>
          <patternFill patternType="solid">
            <bgColor theme="0"/>
          </patternFill>
        </fill>
      </dxf>
    </rfmt>
    <rfmt sheetId="1" sqref="H158" start="0" length="0">
      <dxf>
        <fill>
          <patternFill patternType="solid">
            <bgColor theme="0"/>
          </patternFill>
        </fill>
      </dxf>
    </rfmt>
    <rfmt sheetId="1" sqref="I158" start="0" length="0">
      <dxf>
        <fill>
          <patternFill patternType="solid">
            <bgColor theme="0"/>
          </patternFill>
        </fill>
      </dxf>
    </rfmt>
  </rrc>
  <rcc rId="5171" sId="1">
    <oc r="D74">
      <f>D83+D87+D103+D108+#REF!+D154+#REF!+D158+#REF!+D119+D127+D140+D131+D123+D95+D115+D149+D91+D75+D99+D79</f>
    </oc>
    <nc r="D74">
      <f>D83+D87+D103+D108+D154+D158+D119+D127+D140+D131+D123+D95+D115+D149+D91+D75+D99+D79</f>
    </nc>
  </rcc>
  <rcc rId="5172" sId="1">
    <oc r="E74">
      <f>E83+E87+E103+E108+#REF!+E154+#REF!+E158+#REF!+E119+E127+E140+E131+E123+E95+E115+E149+E91+E75+E99+E79</f>
    </oc>
    <nc r="E74">
      <f>E83+E87+E103+E108+E154+E158+E119+E127+E140+E131+E123+E95+E115+E149+E91+E75+E99+E79</f>
    </nc>
  </rcc>
  <rcc rId="5173" sId="1">
    <oc r="F74">
      <f>F83+F87+F103+F108+#REF!+F154+#REF!+F158+#REF!+F119+F127+F140+F131+F123+F95+F115+F149+F91+F75+F99+F79</f>
    </oc>
    <nc r="F74">
      <f>F83+F87+F103+F108+F154+F158+F119+F127+F140+F131+F123+F95+F115+F149+F91+F75+F99+F79</f>
    </nc>
  </rcc>
  <rrc rId="5174" sId="1" ref="A326:XFD326" action="deleteRow">
    <undo index="1" exp="ref" v="1" dr="F326" r="F308" sId="1"/>
    <undo index="1" exp="ref" v="1" dr="E326" r="E308" sId="1"/>
    <undo index="1" exp="ref" v="1" dr="D326" r="D308" sId="1"/>
    <undo index="32" exp="area" ref3D="1" dr="$A$927:$XFD$929" dn="Z_D9B90A86_BE39_4FED_8226_084809D277F3_.wvu.Rows" sId="1"/>
    <undo index="30" exp="area" ref3D="1" dr="$A$867:$XFD$870" dn="Z_D9B90A86_BE39_4FED_8226_084809D277F3_.wvu.Rows" sId="1"/>
    <undo index="28" exp="area" ref3D="1" dr="$A$833:$XFD$838" dn="Z_D9B90A86_BE39_4FED_8226_084809D277F3_.wvu.Rows" sId="1"/>
    <undo index="26" exp="area" ref3D="1" dr="$A$817:$XFD$820" dn="Z_D9B90A86_BE39_4FED_8226_084809D277F3_.wvu.Rows" sId="1"/>
    <undo index="24" exp="area" ref3D="1" dr="$A$688:$XFD$691" dn="Z_D9B90A86_BE39_4FED_8226_084809D277F3_.wvu.Rows" sId="1"/>
    <undo index="22" exp="area" ref3D="1" dr="$A$563:$XFD$565" dn="Z_D9B90A86_BE39_4FED_8226_084809D277F3_.wvu.Rows" sId="1"/>
    <undo index="20" exp="area" ref3D="1" dr="$A$554:$XFD$557" dn="Z_D9B90A86_BE39_4FED_8226_084809D277F3_.wvu.Rows" sId="1"/>
    <undo index="18" exp="area" ref3D="1" dr="$A$540:$XFD$543" dn="Z_D9B90A86_BE39_4FED_8226_084809D277F3_.wvu.Rows" sId="1"/>
    <undo index="16" exp="area" ref3D="1" dr="$A$463:$XFD$467" dn="Z_D9B90A86_BE39_4FED_8226_084809D277F3_.wvu.Rows" sId="1"/>
    <undo index="14" exp="area" ref3D="1" dr="$A$405:$XFD$408" dn="Z_D9B90A86_BE39_4FED_8226_084809D277F3_.wvu.Rows" sId="1"/>
    <undo index="12" exp="area" ref3D="1" dr="$A$372:$XFD$375" dn="Z_D9B90A86_BE39_4FED_8226_084809D277F3_.wvu.Rows" sId="1"/>
    <undo index="10" exp="area" ref3D="1" dr="$A$350:$XFD$352" dn="Z_D9B90A86_BE39_4FED_8226_084809D277F3_.wvu.Rows" sId="1"/>
    <undo index="8" exp="area" ref3D="1" dr="$A$326:$XFD$329" dn="Z_D9B90A86_BE39_4FED_8226_084809D277F3_.wvu.Rows" sId="1"/>
    <rfmt sheetId="1" xfDxf="1" sqref="A326:XFD326" start="0" length="0">
      <dxf>
        <font>
          <name val="Times New Roman"/>
          <scheme val="none"/>
        </font>
        <alignment vertical="center" readingOrder="0"/>
      </dxf>
    </rfmt>
    <rcc rId="0" sId="1" dxf="1">
      <nc r="A326" t="inlineStr">
        <is>
          <t>Мероприятия по развитию физической культуры и спорта в муниципальных образованиях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26" t="inlineStr">
        <is>
          <t>06 1 00 S8520</t>
        </is>
      </nc>
      <ndxf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6" start="0" length="0">
      <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26">
        <f>D327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6">
        <f>E327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6">
        <f>F327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ill>
          <patternFill patternType="solid">
            <bgColor theme="0"/>
          </patternFill>
        </fill>
      </dxf>
    </rfmt>
    <rfmt sheetId="1" sqref="H326" start="0" length="0">
      <dxf>
        <fill>
          <patternFill patternType="solid">
            <bgColor theme="0"/>
          </patternFill>
        </fill>
      </dxf>
    </rfmt>
    <rfmt sheetId="1" sqref="I326" start="0" length="0">
      <dxf>
        <fill>
          <patternFill patternType="solid">
            <bgColor theme="0"/>
          </patternFill>
        </fill>
      </dxf>
    </rfmt>
  </rrc>
  <rrc rId="5175" sId="1" ref="A326:XFD326" action="deleteRow">
    <undo index="32" exp="area" ref3D="1" dr="$A$926:$XFD$928" dn="Z_D9B90A86_BE39_4FED_8226_084809D277F3_.wvu.Rows" sId="1"/>
    <undo index="30" exp="area" ref3D="1" dr="$A$866:$XFD$869" dn="Z_D9B90A86_BE39_4FED_8226_084809D277F3_.wvu.Rows" sId="1"/>
    <undo index="28" exp="area" ref3D="1" dr="$A$832:$XFD$837" dn="Z_D9B90A86_BE39_4FED_8226_084809D277F3_.wvu.Rows" sId="1"/>
    <undo index="26" exp="area" ref3D="1" dr="$A$816:$XFD$819" dn="Z_D9B90A86_BE39_4FED_8226_084809D277F3_.wvu.Rows" sId="1"/>
    <undo index="24" exp="area" ref3D="1" dr="$A$687:$XFD$690" dn="Z_D9B90A86_BE39_4FED_8226_084809D277F3_.wvu.Rows" sId="1"/>
    <undo index="22" exp="area" ref3D="1" dr="$A$562:$XFD$564" dn="Z_D9B90A86_BE39_4FED_8226_084809D277F3_.wvu.Rows" sId="1"/>
    <undo index="20" exp="area" ref3D="1" dr="$A$553:$XFD$556" dn="Z_D9B90A86_BE39_4FED_8226_084809D277F3_.wvu.Rows" sId="1"/>
    <undo index="18" exp="area" ref3D="1" dr="$A$539:$XFD$542" dn="Z_D9B90A86_BE39_4FED_8226_084809D277F3_.wvu.Rows" sId="1"/>
    <undo index="16" exp="area" ref3D="1" dr="$A$462:$XFD$466" dn="Z_D9B90A86_BE39_4FED_8226_084809D277F3_.wvu.Rows" sId="1"/>
    <undo index="14" exp="area" ref3D="1" dr="$A$404:$XFD$407" dn="Z_D9B90A86_BE39_4FED_8226_084809D277F3_.wvu.Rows" sId="1"/>
    <undo index="12" exp="area" ref3D="1" dr="$A$371:$XFD$374" dn="Z_D9B90A86_BE39_4FED_8226_084809D277F3_.wvu.Rows" sId="1"/>
    <undo index="10" exp="area" ref3D="1" dr="$A$349:$XFD$351" dn="Z_D9B90A86_BE39_4FED_8226_084809D277F3_.wvu.Rows" sId="1"/>
    <undo index="8" exp="area" ref3D="1" dr="$A$326:$XFD$328" dn="Z_D9B90A86_BE39_4FED_8226_084809D277F3_.wvu.Rows" sId="1"/>
    <rfmt sheetId="1" xfDxf="1" sqref="A326:XFD326" start="0" length="0">
      <dxf>
        <font>
          <name val="Times New Roman"/>
          <scheme val="none"/>
        </font>
        <alignment vertical="center" readingOrder="0"/>
      </dxf>
    </rfmt>
    <rcc rId="0" sId="1" dxf="1">
      <nc r="A326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26" t="inlineStr">
        <is>
          <t>06 1 00 S8520</t>
        </is>
      </nc>
      <ndxf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quotePrefix="1">
      <nc r="C326" t="inlineStr">
        <is>
          <t>200</t>
        </is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26">
        <f>D327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6">
        <f>E327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6">
        <f>F327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ill>
          <patternFill patternType="solid">
            <bgColor theme="0"/>
          </patternFill>
        </fill>
      </dxf>
    </rfmt>
    <rfmt sheetId="1" sqref="H326" start="0" length="0">
      <dxf>
        <fill>
          <patternFill patternType="solid">
            <bgColor theme="0"/>
          </patternFill>
        </fill>
      </dxf>
    </rfmt>
    <rfmt sheetId="1" sqref="I326" start="0" length="0">
      <dxf>
        <fill>
          <patternFill patternType="solid">
            <bgColor theme="0"/>
          </patternFill>
        </fill>
      </dxf>
    </rfmt>
  </rrc>
  <rrc rId="5176" sId="1" ref="A326:XFD326" action="deleteRow">
    <undo index="32" exp="area" ref3D="1" dr="$A$925:$XFD$927" dn="Z_D9B90A86_BE39_4FED_8226_084809D277F3_.wvu.Rows" sId="1"/>
    <undo index="30" exp="area" ref3D="1" dr="$A$865:$XFD$868" dn="Z_D9B90A86_BE39_4FED_8226_084809D277F3_.wvu.Rows" sId="1"/>
    <undo index="28" exp="area" ref3D="1" dr="$A$831:$XFD$836" dn="Z_D9B90A86_BE39_4FED_8226_084809D277F3_.wvu.Rows" sId="1"/>
    <undo index="26" exp="area" ref3D="1" dr="$A$815:$XFD$818" dn="Z_D9B90A86_BE39_4FED_8226_084809D277F3_.wvu.Rows" sId="1"/>
    <undo index="24" exp="area" ref3D="1" dr="$A$686:$XFD$689" dn="Z_D9B90A86_BE39_4FED_8226_084809D277F3_.wvu.Rows" sId="1"/>
    <undo index="22" exp="area" ref3D="1" dr="$A$561:$XFD$563" dn="Z_D9B90A86_BE39_4FED_8226_084809D277F3_.wvu.Rows" sId="1"/>
    <undo index="20" exp="area" ref3D="1" dr="$A$552:$XFD$555" dn="Z_D9B90A86_BE39_4FED_8226_084809D277F3_.wvu.Rows" sId="1"/>
    <undo index="18" exp="area" ref3D="1" dr="$A$538:$XFD$541" dn="Z_D9B90A86_BE39_4FED_8226_084809D277F3_.wvu.Rows" sId="1"/>
    <undo index="16" exp="area" ref3D="1" dr="$A$461:$XFD$465" dn="Z_D9B90A86_BE39_4FED_8226_084809D277F3_.wvu.Rows" sId="1"/>
    <undo index="14" exp="area" ref3D="1" dr="$A$403:$XFD$406" dn="Z_D9B90A86_BE39_4FED_8226_084809D277F3_.wvu.Rows" sId="1"/>
    <undo index="12" exp="area" ref3D="1" dr="$A$370:$XFD$373" dn="Z_D9B90A86_BE39_4FED_8226_084809D277F3_.wvu.Rows" sId="1"/>
    <undo index="10" exp="area" ref3D="1" dr="$A$348:$XFD$350" dn="Z_D9B90A86_BE39_4FED_8226_084809D277F3_.wvu.Rows" sId="1"/>
    <undo index="8" exp="area" ref3D="1" dr="$A$326:$XFD$327" dn="Z_D9B90A86_BE39_4FED_8226_084809D277F3_.wvu.Rows" sId="1"/>
    <rfmt sheetId="1" xfDxf="1" sqref="A326:XFD326" start="0" length="0">
      <dxf>
        <font>
          <name val="Times New Roman"/>
          <scheme val="none"/>
        </font>
        <alignment vertical="center" readingOrder="0"/>
      </dxf>
    </rfmt>
    <rcc rId="0" sId="1" dxf="1">
      <nc r="A326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26" t="inlineStr">
        <is>
          <t>06 1 00 S8520</t>
        </is>
      </nc>
      <ndxf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quotePrefix="1">
      <nc r="C326" t="inlineStr">
        <is>
          <t>240</t>
        </is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26">
        <f>D327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26">
        <f>E327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26">
        <f>F327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ill>
          <patternFill patternType="solid">
            <bgColor theme="0"/>
          </patternFill>
        </fill>
      </dxf>
    </rfmt>
    <rfmt sheetId="1" sqref="H326" start="0" length="0">
      <dxf>
        <fill>
          <patternFill patternType="solid">
            <bgColor theme="0"/>
          </patternFill>
        </fill>
      </dxf>
    </rfmt>
    <rfmt sheetId="1" sqref="I326" start="0" length="0">
      <dxf>
        <fill>
          <patternFill patternType="solid">
            <bgColor theme="0"/>
          </patternFill>
        </fill>
      </dxf>
    </rfmt>
  </rrc>
  <rrc rId="5177" sId="1" ref="A326:XFD326" action="deleteRow">
    <undo index="32" exp="area" ref3D="1" dr="$A$924:$XFD$926" dn="Z_D9B90A86_BE39_4FED_8226_084809D277F3_.wvu.Rows" sId="1"/>
    <undo index="30" exp="area" ref3D="1" dr="$A$864:$XFD$867" dn="Z_D9B90A86_BE39_4FED_8226_084809D277F3_.wvu.Rows" sId="1"/>
    <undo index="28" exp="area" ref3D="1" dr="$A$830:$XFD$835" dn="Z_D9B90A86_BE39_4FED_8226_084809D277F3_.wvu.Rows" sId="1"/>
    <undo index="26" exp="area" ref3D="1" dr="$A$814:$XFD$817" dn="Z_D9B90A86_BE39_4FED_8226_084809D277F3_.wvu.Rows" sId="1"/>
    <undo index="24" exp="area" ref3D="1" dr="$A$685:$XFD$688" dn="Z_D9B90A86_BE39_4FED_8226_084809D277F3_.wvu.Rows" sId="1"/>
    <undo index="22" exp="area" ref3D="1" dr="$A$560:$XFD$562" dn="Z_D9B90A86_BE39_4FED_8226_084809D277F3_.wvu.Rows" sId="1"/>
    <undo index="20" exp="area" ref3D="1" dr="$A$551:$XFD$554" dn="Z_D9B90A86_BE39_4FED_8226_084809D277F3_.wvu.Rows" sId="1"/>
    <undo index="18" exp="area" ref3D="1" dr="$A$537:$XFD$540" dn="Z_D9B90A86_BE39_4FED_8226_084809D277F3_.wvu.Rows" sId="1"/>
    <undo index="16" exp="area" ref3D="1" dr="$A$460:$XFD$464" dn="Z_D9B90A86_BE39_4FED_8226_084809D277F3_.wvu.Rows" sId="1"/>
    <undo index="14" exp="area" ref3D="1" dr="$A$402:$XFD$405" dn="Z_D9B90A86_BE39_4FED_8226_084809D277F3_.wvu.Rows" sId="1"/>
    <undo index="12" exp="area" ref3D="1" dr="$A$369:$XFD$372" dn="Z_D9B90A86_BE39_4FED_8226_084809D277F3_.wvu.Rows" sId="1"/>
    <undo index="10" exp="area" ref3D="1" dr="$A$347:$XFD$349" dn="Z_D9B90A86_BE39_4FED_8226_084809D277F3_.wvu.Rows" sId="1"/>
    <undo index="8" exp="area" ref3D="1" dr="$A$326:$XFD$326" dn="Z_D9B90A86_BE39_4FED_8226_084809D277F3_.wvu.Rows" sId="1"/>
    <rfmt sheetId="1" xfDxf="1" sqref="A326:XFD326" start="0" length="0">
      <dxf>
        <font>
          <name val="Times New Roman"/>
          <scheme val="none"/>
        </font>
        <alignment vertical="center" readingOrder="0"/>
      </dxf>
    </rfmt>
    <rcc rId="0" sId="1" dxf="1">
      <nc r="A326" t="inlineStr">
        <is>
          <t xml:space="preserve">Прочая закупка товаров, работ и услуг 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26" t="inlineStr">
        <is>
          <t>06 1 00 S8520</t>
        </is>
      </nc>
      <ndxf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quotePrefix="1">
      <nc r="C326" t="inlineStr">
        <is>
          <t>244</t>
        </is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326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26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326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ill>
          <patternFill patternType="solid">
            <bgColor theme="0"/>
          </patternFill>
        </fill>
      </dxf>
    </rfmt>
    <rfmt sheetId="1" sqref="H326" start="0" length="0">
      <dxf>
        <fill>
          <patternFill patternType="solid">
            <bgColor theme="0"/>
          </patternFill>
        </fill>
      </dxf>
    </rfmt>
    <rfmt sheetId="1" sqref="I326" start="0" length="0">
      <dxf>
        <fill>
          <patternFill patternType="solid">
            <bgColor theme="0"/>
          </patternFill>
        </fill>
      </dxf>
    </rfmt>
  </rrc>
  <rrc rId="5178" sId="1" ref="A346:XFD346" action="deleteRow">
    <undo index="0" exp="ref" v="1" dr="F346" r="F341" sId="1"/>
    <undo index="0" exp="ref" v="1" dr="E346" r="E341" sId="1"/>
    <undo index="0" exp="ref" v="1" dr="D346" r="D341" sId="1"/>
    <undo index="32" exp="area" ref3D="1" dr="$A$923:$XFD$925" dn="Z_D9B90A86_BE39_4FED_8226_084809D277F3_.wvu.Rows" sId="1"/>
    <undo index="30" exp="area" ref3D="1" dr="$A$863:$XFD$866" dn="Z_D9B90A86_BE39_4FED_8226_084809D277F3_.wvu.Rows" sId="1"/>
    <undo index="28" exp="area" ref3D="1" dr="$A$829:$XFD$834" dn="Z_D9B90A86_BE39_4FED_8226_084809D277F3_.wvu.Rows" sId="1"/>
    <undo index="26" exp="area" ref3D="1" dr="$A$813:$XFD$816" dn="Z_D9B90A86_BE39_4FED_8226_084809D277F3_.wvu.Rows" sId="1"/>
    <undo index="24" exp="area" ref3D="1" dr="$A$684:$XFD$687" dn="Z_D9B90A86_BE39_4FED_8226_084809D277F3_.wvu.Rows" sId="1"/>
    <undo index="22" exp="area" ref3D="1" dr="$A$559:$XFD$561" dn="Z_D9B90A86_BE39_4FED_8226_084809D277F3_.wvu.Rows" sId="1"/>
    <undo index="20" exp="area" ref3D="1" dr="$A$550:$XFD$553" dn="Z_D9B90A86_BE39_4FED_8226_084809D277F3_.wvu.Rows" sId="1"/>
    <undo index="18" exp="area" ref3D="1" dr="$A$536:$XFD$539" dn="Z_D9B90A86_BE39_4FED_8226_084809D277F3_.wvu.Rows" sId="1"/>
    <undo index="16" exp="area" ref3D="1" dr="$A$459:$XFD$463" dn="Z_D9B90A86_BE39_4FED_8226_084809D277F3_.wvu.Rows" sId="1"/>
    <undo index="14" exp="area" ref3D="1" dr="$A$401:$XFD$404" dn="Z_D9B90A86_BE39_4FED_8226_084809D277F3_.wvu.Rows" sId="1"/>
    <undo index="12" exp="area" ref3D="1" dr="$A$368:$XFD$371" dn="Z_D9B90A86_BE39_4FED_8226_084809D277F3_.wvu.Rows" sId="1"/>
    <undo index="10" exp="area" ref3D="1" dr="$A$346:$XFD$348" dn="Z_D9B90A86_BE39_4FED_8226_084809D277F3_.wvu.Rows" sId="1"/>
    <rfmt sheetId="1" xfDxf="1" sqref="A346:XFD346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346" t="inlineStr">
        <is>
          <t>Закупка товаров, работ и услуг для обеспечения государственных (муниципальных) нужд</t>
        </is>
      </nc>
      <ndxf>
        <fill>
          <patternFill>
            <bgColor theme="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46" t="inlineStr">
        <is>
          <t>06 2 00 S6910</t>
        </is>
      </nc>
      <ndxf>
        <numFmt numFmtId="164" formatCode="_-* #,##0.00_р_._-;\-* #,##0.00_р_._-;_-* &quot;-&quot;??_р_._-;_-@_-"/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346">
        <v>200</v>
      </nc>
      <ndxf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46">
        <f>D347</f>
      </nc>
      <ndxf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6">
        <f>E347</f>
      </nc>
      <ndxf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6">
        <f>F347</f>
      </nc>
      <ndxf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6" start="0" length="0">
      <dxf>
        <fill>
          <patternFill>
            <bgColor theme="0"/>
          </patternFill>
        </fill>
      </dxf>
    </rfmt>
    <rfmt sheetId="1" sqref="H346" start="0" length="0">
      <dxf>
        <fill>
          <patternFill>
            <bgColor theme="0"/>
          </patternFill>
        </fill>
      </dxf>
    </rfmt>
    <rfmt sheetId="1" sqref="I346" start="0" length="0">
      <dxf>
        <fill>
          <patternFill>
            <bgColor theme="0"/>
          </patternFill>
        </fill>
      </dxf>
    </rfmt>
  </rrc>
  <rrc rId="5179" sId="1" ref="A346:XFD346" action="deleteRow">
    <undo index="32" exp="area" ref3D="1" dr="$A$922:$XFD$924" dn="Z_D9B90A86_BE39_4FED_8226_084809D277F3_.wvu.Rows" sId="1"/>
    <undo index="30" exp="area" ref3D="1" dr="$A$862:$XFD$865" dn="Z_D9B90A86_BE39_4FED_8226_084809D277F3_.wvu.Rows" sId="1"/>
    <undo index="28" exp="area" ref3D="1" dr="$A$828:$XFD$833" dn="Z_D9B90A86_BE39_4FED_8226_084809D277F3_.wvu.Rows" sId="1"/>
    <undo index="26" exp="area" ref3D="1" dr="$A$812:$XFD$815" dn="Z_D9B90A86_BE39_4FED_8226_084809D277F3_.wvu.Rows" sId="1"/>
    <undo index="24" exp="area" ref3D="1" dr="$A$683:$XFD$686" dn="Z_D9B90A86_BE39_4FED_8226_084809D277F3_.wvu.Rows" sId="1"/>
    <undo index="22" exp="area" ref3D="1" dr="$A$558:$XFD$560" dn="Z_D9B90A86_BE39_4FED_8226_084809D277F3_.wvu.Rows" sId="1"/>
    <undo index="20" exp="area" ref3D="1" dr="$A$549:$XFD$552" dn="Z_D9B90A86_BE39_4FED_8226_084809D277F3_.wvu.Rows" sId="1"/>
    <undo index="18" exp="area" ref3D="1" dr="$A$535:$XFD$538" dn="Z_D9B90A86_BE39_4FED_8226_084809D277F3_.wvu.Rows" sId="1"/>
    <undo index="16" exp="area" ref3D="1" dr="$A$458:$XFD$462" dn="Z_D9B90A86_BE39_4FED_8226_084809D277F3_.wvu.Rows" sId="1"/>
    <undo index="14" exp="area" ref3D="1" dr="$A$400:$XFD$403" dn="Z_D9B90A86_BE39_4FED_8226_084809D277F3_.wvu.Rows" sId="1"/>
    <undo index="12" exp="area" ref3D="1" dr="$A$367:$XFD$370" dn="Z_D9B90A86_BE39_4FED_8226_084809D277F3_.wvu.Rows" sId="1"/>
    <undo index="10" exp="area" ref3D="1" dr="$A$346:$XFD$347" dn="Z_D9B90A86_BE39_4FED_8226_084809D277F3_.wvu.Rows" sId="1"/>
    <rfmt sheetId="1" xfDxf="1" sqref="A346:XFD346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346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>
            <bgColor theme="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46" t="inlineStr">
        <is>
          <t>06 2 00 S6910</t>
        </is>
      </nc>
      <ndxf>
        <numFmt numFmtId="164" formatCode="_-* #,##0.00_р_._-;\-* #,##0.00_р_._-;_-* &quot;-&quot;??_р_._-;_-@_-"/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346">
        <v>240</v>
      </nc>
      <ndxf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46">
        <f>D347</f>
      </nc>
      <ndxf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46">
        <f>E347</f>
      </nc>
      <ndxf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46">
        <f>F347</f>
      </nc>
      <ndxf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6" start="0" length="0">
      <dxf>
        <fill>
          <patternFill>
            <bgColor theme="0"/>
          </patternFill>
        </fill>
      </dxf>
    </rfmt>
    <rfmt sheetId="1" sqref="H346" start="0" length="0">
      <dxf>
        <fill>
          <patternFill>
            <bgColor theme="0"/>
          </patternFill>
        </fill>
      </dxf>
    </rfmt>
    <rfmt sheetId="1" sqref="I346" start="0" length="0">
      <dxf>
        <fill>
          <patternFill>
            <bgColor theme="0"/>
          </patternFill>
        </fill>
      </dxf>
    </rfmt>
  </rrc>
  <rrc rId="5180" sId="1" ref="A346:XFD346" action="deleteRow">
    <undo index="32" exp="area" ref3D="1" dr="$A$921:$XFD$923" dn="Z_D9B90A86_BE39_4FED_8226_084809D277F3_.wvu.Rows" sId="1"/>
    <undo index="30" exp="area" ref3D="1" dr="$A$861:$XFD$864" dn="Z_D9B90A86_BE39_4FED_8226_084809D277F3_.wvu.Rows" sId="1"/>
    <undo index="28" exp="area" ref3D="1" dr="$A$827:$XFD$832" dn="Z_D9B90A86_BE39_4FED_8226_084809D277F3_.wvu.Rows" sId="1"/>
    <undo index="26" exp="area" ref3D="1" dr="$A$811:$XFD$814" dn="Z_D9B90A86_BE39_4FED_8226_084809D277F3_.wvu.Rows" sId="1"/>
    <undo index="24" exp="area" ref3D="1" dr="$A$682:$XFD$685" dn="Z_D9B90A86_BE39_4FED_8226_084809D277F3_.wvu.Rows" sId="1"/>
    <undo index="22" exp="area" ref3D="1" dr="$A$557:$XFD$559" dn="Z_D9B90A86_BE39_4FED_8226_084809D277F3_.wvu.Rows" sId="1"/>
    <undo index="20" exp="area" ref3D="1" dr="$A$548:$XFD$551" dn="Z_D9B90A86_BE39_4FED_8226_084809D277F3_.wvu.Rows" sId="1"/>
    <undo index="18" exp="area" ref3D="1" dr="$A$534:$XFD$537" dn="Z_D9B90A86_BE39_4FED_8226_084809D277F3_.wvu.Rows" sId="1"/>
    <undo index="16" exp="area" ref3D="1" dr="$A$457:$XFD$461" dn="Z_D9B90A86_BE39_4FED_8226_084809D277F3_.wvu.Rows" sId="1"/>
    <undo index="14" exp="area" ref3D="1" dr="$A$399:$XFD$402" dn="Z_D9B90A86_BE39_4FED_8226_084809D277F3_.wvu.Rows" sId="1"/>
    <undo index="12" exp="area" ref3D="1" dr="$A$366:$XFD$369" dn="Z_D9B90A86_BE39_4FED_8226_084809D277F3_.wvu.Rows" sId="1"/>
    <undo index="10" exp="area" ref3D="1" dr="$A$346:$XFD$346" dn="Z_D9B90A86_BE39_4FED_8226_084809D277F3_.wvu.Rows" sId="1"/>
    <rfmt sheetId="1" xfDxf="1" sqref="A346:XFD346" start="0" length="0">
      <dxf>
        <font>
          <name val="Times New Roman"/>
          <scheme val="none"/>
        </font>
        <fill>
          <patternFill patternType="solid">
            <bgColor rgb="FF00B050"/>
          </patternFill>
        </fill>
        <alignment vertical="center" readingOrder="0"/>
      </dxf>
    </rfmt>
    <rcc rId="0" sId="1" dxf="1">
      <nc r="A346" t="inlineStr">
        <is>
          <t xml:space="preserve">Прочая закупка товаров, работ и услуг </t>
        </is>
      </nc>
      <ndxf>
        <fill>
          <patternFill>
            <bgColor theme="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346" t="inlineStr">
        <is>
          <t>06 2 00 S6910</t>
        </is>
      </nc>
      <ndxf>
        <numFmt numFmtId="164" formatCode="_-* #,##0.00_р_._-;\-* #,##0.00_р_._-;_-* &quot;-&quot;??_р_._-;_-@_-"/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346">
        <v>244</v>
      </nc>
      <ndxf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346" start="0" length="0">
      <dxf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46" start="0" length="0">
      <dxf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46" start="0" length="0">
      <dxf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6" start="0" length="0">
      <dxf>
        <fill>
          <patternFill>
            <bgColor theme="0"/>
          </patternFill>
        </fill>
      </dxf>
    </rfmt>
    <rfmt sheetId="1" sqref="H346" start="0" length="0">
      <dxf>
        <fill>
          <patternFill>
            <bgColor theme="0"/>
          </patternFill>
        </fill>
      </dxf>
    </rfmt>
    <rfmt sheetId="1" sqref="I346" start="0" length="0">
      <dxf>
        <fill>
          <patternFill>
            <bgColor theme="0"/>
          </patternFill>
        </fill>
      </dxf>
    </rfmt>
  </rrc>
  <rcc rId="5181" sId="1">
    <oc r="D341">
      <f>#REF!+D346+D342</f>
    </oc>
    <nc r="D341">
      <f>D346+D342</f>
    </nc>
  </rcc>
  <rcc rId="5182" sId="1">
    <oc r="E341">
      <f>#REF!+E346+E342</f>
    </oc>
    <nc r="E341">
      <f>E346+E342</f>
    </nc>
  </rcc>
  <rcc rId="5183" sId="1">
    <oc r="F341">
      <f>#REF!+F346+F342</f>
    </oc>
    <nc r="F341">
      <f>F346+F342</f>
    </nc>
  </rcc>
  <rrc rId="5184" sId="1" ref="A365:XFD365" action="deleteRow">
    <undo index="0" exp="ref" v="1" dr="F365" r="F364" sId="1"/>
    <undo index="0" exp="ref" v="1" dr="E365" r="E364" sId="1"/>
    <undo index="0" exp="ref" v="1" dr="D365" r="D364" sId="1"/>
    <undo index="32" exp="area" ref3D="1" dr="$A$920:$XFD$922" dn="Z_D9B90A86_BE39_4FED_8226_084809D277F3_.wvu.Rows" sId="1"/>
    <undo index="30" exp="area" ref3D="1" dr="$A$860:$XFD$863" dn="Z_D9B90A86_BE39_4FED_8226_084809D277F3_.wvu.Rows" sId="1"/>
    <undo index="28" exp="area" ref3D="1" dr="$A$826:$XFD$831" dn="Z_D9B90A86_BE39_4FED_8226_084809D277F3_.wvu.Rows" sId="1"/>
    <undo index="26" exp="area" ref3D="1" dr="$A$810:$XFD$813" dn="Z_D9B90A86_BE39_4FED_8226_084809D277F3_.wvu.Rows" sId="1"/>
    <undo index="24" exp="area" ref3D="1" dr="$A$681:$XFD$684" dn="Z_D9B90A86_BE39_4FED_8226_084809D277F3_.wvu.Rows" sId="1"/>
    <undo index="22" exp="area" ref3D="1" dr="$A$556:$XFD$558" dn="Z_D9B90A86_BE39_4FED_8226_084809D277F3_.wvu.Rows" sId="1"/>
    <undo index="20" exp="area" ref3D="1" dr="$A$547:$XFD$550" dn="Z_D9B90A86_BE39_4FED_8226_084809D277F3_.wvu.Rows" sId="1"/>
    <undo index="18" exp="area" ref3D="1" dr="$A$533:$XFD$536" dn="Z_D9B90A86_BE39_4FED_8226_084809D277F3_.wvu.Rows" sId="1"/>
    <undo index="16" exp="area" ref3D="1" dr="$A$456:$XFD$460" dn="Z_D9B90A86_BE39_4FED_8226_084809D277F3_.wvu.Rows" sId="1"/>
    <undo index="14" exp="area" ref3D="1" dr="$A$398:$XFD$401" dn="Z_D9B90A86_BE39_4FED_8226_084809D277F3_.wvu.Rows" sId="1"/>
    <undo index="12" exp="area" ref3D="1" dr="$A$365:$XFD$368" dn="Z_D9B90A86_BE39_4FED_8226_084809D277F3_.wvu.Rows" sId="1"/>
    <rfmt sheetId="1" xfDxf="1" sqref="A365:XFD365" start="0" length="0">
      <dxf>
        <font>
          <name val="Times New Roman"/>
          <scheme val="none"/>
        </font>
      </dxf>
    </rfmt>
    <rcc rId="0" sId="1" dxf="1">
      <nc r="A365" t="inlineStr">
        <is>
          <t xml:space="preserve">Мероприятияв сфере общественного пассажирского транспорта и транспортной инфраструктуры 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 0 00 S6790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65" start="0" length="0">
      <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65">
        <f>D367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5">
        <f>E367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5">
        <f>F367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5" start="0" length="0">
      <dxf>
        <fill>
          <patternFill patternType="solid">
            <bgColor theme="0"/>
          </patternFill>
        </fill>
      </dxf>
    </rfmt>
    <rfmt sheetId="1" sqref="H365" start="0" length="0">
      <dxf>
        <fill>
          <patternFill patternType="solid">
            <bgColor theme="0"/>
          </patternFill>
        </fill>
      </dxf>
    </rfmt>
    <rfmt sheetId="1" sqref="I365" start="0" length="0">
      <dxf>
        <fill>
          <patternFill patternType="solid">
            <bgColor theme="0"/>
          </patternFill>
        </fill>
      </dxf>
    </rfmt>
  </rrc>
  <rrc rId="5185" sId="1" ref="A365:XFD365" action="deleteRow">
    <undo index="32" exp="area" ref3D="1" dr="$A$919:$XFD$921" dn="Z_D9B90A86_BE39_4FED_8226_084809D277F3_.wvu.Rows" sId="1"/>
    <undo index="30" exp="area" ref3D="1" dr="$A$859:$XFD$862" dn="Z_D9B90A86_BE39_4FED_8226_084809D277F3_.wvu.Rows" sId="1"/>
    <undo index="28" exp="area" ref3D="1" dr="$A$825:$XFD$830" dn="Z_D9B90A86_BE39_4FED_8226_084809D277F3_.wvu.Rows" sId="1"/>
    <undo index="26" exp="area" ref3D="1" dr="$A$809:$XFD$812" dn="Z_D9B90A86_BE39_4FED_8226_084809D277F3_.wvu.Rows" sId="1"/>
    <undo index="24" exp="area" ref3D="1" dr="$A$680:$XFD$683" dn="Z_D9B90A86_BE39_4FED_8226_084809D277F3_.wvu.Rows" sId="1"/>
    <undo index="22" exp="area" ref3D="1" dr="$A$555:$XFD$557" dn="Z_D9B90A86_BE39_4FED_8226_084809D277F3_.wvu.Rows" sId="1"/>
    <undo index="20" exp="area" ref3D="1" dr="$A$546:$XFD$549" dn="Z_D9B90A86_BE39_4FED_8226_084809D277F3_.wvu.Rows" sId="1"/>
    <undo index="18" exp="area" ref3D="1" dr="$A$532:$XFD$535" dn="Z_D9B90A86_BE39_4FED_8226_084809D277F3_.wvu.Rows" sId="1"/>
    <undo index="16" exp="area" ref3D="1" dr="$A$455:$XFD$459" dn="Z_D9B90A86_BE39_4FED_8226_084809D277F3_.wvu.Rows" sId="1"/>
    <undo index="14" exp="area" ref3D="1" dr="$A$397:$XFD$400" dn="Z_D9B90A86_BE39_4FED_8226_084809D277F3_.wvu.Rows" sId="1"/>
    <undo index="12" exp="area" ref3D="1" dr="$A$365:$XFD$367" dn="Z_D9B90A86_BE39_4FED_8226_084809D277F3_.wvu.Rows" sId="1"/>
    <rfmt sheetId="1" xfDxf="1" sqref="A365:XFD365" start="0" length="0">
      <dxf>
        <font>
          <name val="Times New Roman"/>
          <scheme val="none"/>
        </font>
      </dxf>
    </rfmt>
    <rcc rId="0" sId="1" dxf="1">
      <nc r="A365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 0 00 S6790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>
        <v>200</v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365">
        <f>D366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5">
        <f>E366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5">
        <f>F366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5" start="0" length="0">
      <dxf>
        <fill>
          <patternFill patternType="solid">
            <bgColor theme="0"/>
          </patternFill>
        </fill>
      </dxf>
    </rfmt>
    <rfmt sheetId="1" sqref="H365" start="0" length="0">
      <dxf>
        <fill>
          <patternFill patternType="solid">
            <bgColor theme="0"/>
          </patternFill>
        </fill>
      </dxf>
    </rfmt>
    <rfmt sheetId="1" sqref="I365" start="0" length="0">
      <dxf>
        <fill>
          <patternFill patternType="solid">
            <bgColor theme="0"/>
          </patternFill>
        </fill>
      </dxf>
    </rfmt>
  </rrc>
  <rrc rId="5186" sId="1" ref="A365:XFD365" action="deleteRow">
    <undo index="32" exp="area" ref3D="1" dr="$A$918:$XFD$920" dn="Z_D9B90A86_BE39_4FED_8226_084809D277F3_.wvu.Rows" sId="1"/>
    <undo index="30" exp="area" ref3D="1" dr="$A$858:$XFD$861" dn="Z_D9B90A86_BE39_4FED_8226_084809D277F3_.wvu.Rows" sId="1"/>
    <undo index="28" exp="area" ref3D="1" dr="$A$824:$XFD$829" dn="Z_D9B90A86_BE39_4FED_8226_084809D277F3_.wvu.Rows" sId="1"/>
    <undo index="26" exp="area" ref3D="1" dr="$A$808:$XFD$811" dn="Z_D9B90A86_BE39_4FED_8226_084809D277F3_.wvu.Rows" sId="1"/>
    <undo index="24" exp="area" ref3D="1" dr="$A$679:$XFD$682" dn="Z_D9B90A86_BE39_4FED_8226_084809D277F3_.wvu.Rows" sId="1"/>
    <undo index="22" exp="area" ref3D="1" dr="$A$554:$XFD$556" dn="Z_D9B90A86_BE39_4FED_8226_084809D277F3_.wvu.Rows" sId="1"/>
    <undo index="20" exp="area" ref3D="1" dr="$A$545:$XFD$548" dn="Z_D9B90A86_BE39_4FED_8226_084809D277F3_.wvu.Rows" sId="1"/>
    <undo index="18" exp="area" ref3D="1" dr="$A$531:$XFD$534" dn="Z_D9B90A86_BE39_4FED_8226_084809D277F3_.wvu.Rows" sId="1"/>
    <undo index="16" exp="area" ref3D="1" dr="$A$454:$XFD$458" dn="Z_D9B90A86_BE39_4FED_8226_084809D277F3_.wvu.Rows" sId="1"/>
    <undo index="14" exp="area" ref3D="1" dr="$A$396:$XFD$399" dn="Z_D9B90A86_BE39_4FED_8226_084809D277F3_.wvu.Rows" sId="1"/>
    <undo index="12" exp="area" ref3D="1" dr="$A$365:$XFD$366" dn="Z_D9B90A86_BE39_4FED_8226_084809D277F3_.wvu.Rows" sId="1"/>
    <rfmt sheetId="1" xfDxf="1" sqref="A365:XFD365" start="0" length="0">
      <dxf>
        <font>
          <name val="Times New Roman"/>
          <scheme val="none"/>
        </font>
      </dxf>
    </rfmt>
    <rcc rId="0" sId="1" dxf="1">
      <nc r="A365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 0 00 S6790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>
        <v>240</v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365">
        <f>D366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65">
        <f>E366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65">
        <f>F366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5" start="0" length="0">
      <dxf>
        <fill>
          <patternFill patternType="solid">
            <bgColor theme="0"/>
          </patternFill>
        </fill>
      </dxf>
    </rfmt>
    <rfmt sheetId="1" sqref="H365" start="0" length="0">
      <dxf>
        <fill>
          <patternFill patternType="solid">
            <bgColor theme="0"/>
          </patternFill>
        </fill>
      </dxf>
    </rfmt>
    <rfmt sheetId="1" sqref="I365" start="0" length="0">
      <dxf>
        <fill>
          <patternFill patternType="solid">
            <bgColor theme="0"/>
          </patternFill>
        </fill>
      </dxf>
    </rfmt>
  </rrc>
  <rrc rId="5187" sId="1" ref="A365:XFD365" action="deleteRow">
    <undo index="32" exp="area" ref3D="1" dr="$A$917:$XFD$919" dn="Z_D9B90A86_BE39_4FED_8226_084809D277F3_.wvu.Rows" sId="1"/>
    <undo index="30" exp="area" ref3D="1" dr="$A$857:$XFD$860" dn="Z_D9B90A86_BE39_4FED_8226_084809D277F3_.wvu.Rows" sId="1"/>
    <undo index="28" exp="area" ref3D="1" dr="$A$823:$XFD$828" dn="Z_D9B90A86_BE39_4FED_8226_084809D277F3_.wvu.Rows" sId="1"/>
    <undo index="26" exp="area" ref3D="1" dr="$A$807:$XFD$810" dn="Z_D9B90A86_BE39_4FED_8226_084809D277F3_.wvu.Rows" sId="1"/>
    <undo index="24" exp="area" ref3D="1" dr="$A$678:$XFD$681" dn="Z_D9B90A86_BE39_4FED_8226_084809D277F3_.wvu.Rows" sId="1"/>
    <undo index="22" exp="area" ref3D="1" dr="$A$553:$XFD$555" dn="Z_D9B90A86_BE39_4FED_8226_084809D277F3_.wvu.Rows" sId="1"/>
    <undo index="20" exp="area" ref3D="1" dr="$A$544:$XFD$547" dn="Z_D9B90A86_BE39_4FED_8226_084809D277F3_.wvu.Rows" sId="1"/>
    <undo index="18" exp="area" ref3D="1" dr="$A$530:$XFD$533" dn="Z_D9B90A86_BE39_4FED_8226_084809D277F3_.wvu.Rows" sId="1"/>
    <undo index="16" exp="area" ref3D="1" dr="$A$453:$XFD$457" dn="Z_D9B90A86_BE39_4FED_8226_084809D277F3_.wvu.Rows" sId="1"/>
    <undo index="14" exp="area" ref3D="1" dr="$A$395:$XFD$398" dn="Z_D9B90A86_BE39_4FED_8226_084809D277F3_.wvu.Rows" sId="1"/>
    <undo index="12" exp="area" ref3D="1" dr="$A$365:$XFD$365" dn="Z_D9B90A86_BE39_4FED_8226_084809D277F3_.wvu.Rows" sId="1"/>
    <rfmt sheetId="1" xfDxf="1" sqref="A365:XFD365" start="0" length="0">
      <dxf>
        <font>
          <name val="Times New Roman"/>
          <scheme val="none"/>
        </font>
      </dxf>
    </rfmt>
    <rcc rId="0" sId="1" dxf="1">
      <nc r="A365" t="inlineStr">
        <is>
          <t xml:space="preserve">Прочая закупка товаров, работ и услуг 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 0 00 S6790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>
        <v>244</v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365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65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365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5" start="0" length="0">
      <dxf>
        <fill>
          <patternFill patternType="solid">
            <bgColor theme="0"/>
          </patternFill>
        </fill>
      </dxf>
    </rfmt>
    <rfmt sheetId="1" sqref="H365" start="0" length="0">
      <dxf>
        <fill>
          <patternFill patternType="solid">
            <bgColor theme="0"/>
          </patternFill>
        </fill>
      </dxf>
    </rfmt>
    <rfmt sheetId="1" sqref="I365" start="0" length="0">
      <dxf>
        <fill>
          <patternFill patternType="solid">
            <bgColor theme="0"/>
          </patternFill>
        </fill>
      </dxf>
    </rfmt>
  </rrc>
  <rcc rId="5188" sId="1">
    <oc r="D308">
      <f>D309+#REF!+D322</f>
    </oc>
    <nc r="D308">
      <f>D309+D322</f>
    </nc>
  </rcc>
  <rcc rId="5189" sId="1">
    <oc r="E308">
      <f>E309+#REF!+E322</f>
    </oc>
    <nc r="E308">
      <f>E309+E322</f>
    </nc>
  </rcc>
  <rcc rId="5190" sId="1">
    <oc r="F308">
      <f>F309+#REF!+F322</f>
    </oc>
    <nc r="F308">
      <f>F309+F322</f>
    </nc>
  </rcc>
  <rcc rId="5191" sId="1">
    <oc r="D364">
      <f>#REF!+D365+D373+D378+D382+D369</f>
    </oc>
    <nc r="D364">
      <f>D365+D373+D378+D382+D369</f>
    </nc>
  </rcc>
  <rcc rId="5192" sId="1">
    <oc r="E364">
      <f>#REF!+E365+E373+E378+E382+E369</f>
    </oc>
    <nc r="E364">
      <f>E365+E373+E378+E382+E369</f>
    </nc>
  </rcc>
  <rcc rId="5193" sId="1">
    <oc r="F364">
      <f>#REF!+F365+F373+F378+F382+F369</f>
    </oc>
    <nc r="F364">
      <f>F365+F373+F378+F382+F369</f>
    </nc>
  </rcc>
  <rrc rId="5194" sId="1" ref="A394:XFD394" action="deleteRow">
    <undo index="0" exp="ref" v="1" dr="F394" r="F393" sId="1"/>
    <undo index="0" exp="ref" v="1" dr="E394" r="E393" sId="1"/>
    <undo index="0" exp="ref" v="1" dr="D394" r="D393" sId="1"/>
    <undo index="32" exp="area" ref3D="1" dr="$A$916:$XFD$918" dn="Z_D9B90A86_BE39_4FED_8226_084809D277F3_.wvu.Rows" sId="1"/>
    <undo index="30" exp="area" ref3D="1" dr="$A$856:$XFD$859" dn="Z_D9B90A86_BE39_4FED_8226_084809D277F3_.wvu.Rows" sId="1"/>
    <undo index="28" exp="area" ref3D="1" dr="$A$822:$XFD$827" dn="Z_D9B90A86_BE39_4FED_8226_084809D277F3_.wvu.Rows" sId="1"/>
    <undo index="26" exp="area" ref3D="1" dr="$A$806:$XFD$809" dn="Z_D9B90A86_BE39_4FED_8226_084809D277F3_.wvu.Rows" sId="1"/>
    <undo index="24" exp="area" ref3D="1" dr="$A$677:$XFD$680" dn="Z_D9B90A86_BE39_4FED_8226_084809D277F3_.wvu.Rows" sId="1"/>
    <undo index="22" exp="area" ref3D="1" dr="$A$552:$XFD$554" dn="Z_D9B90A86_BE39_4FED_8226_084809D277F3_.wvu.Rows" sId="1"/>
    <undo index="20" exp="area" ref3D="1" dr="$A$543:$XFD$546" dn="Z_D9B90A86_BE39_4FED_8226_084809D277F3_.wvu.Rows" sId="1"/>
    <undo index="18" exp="area" ref3D="1" dr="$A$529:$XFD$532" dn="Z_D9B90A86_BE39_4FED_8226_084809D277F3_.wvu.Rows" sId="1"/>
    <undo index="16" exp="area" ref3D="1" dr="$A$452:$XFD$456" dn="Z_D9B90A86_BE39_4FED_8226_084809D277F3_.wvu.Rows" sId="1"/>
    <undo index="14" exp="area" ref3D="1" dr="$A$394:$XFD$397" dn="Z_D9B90A86_BE39_4FED_8226_084809D277F3_.wvu.Rows" sId="1"/>
    <rfmt sheetId="1" xfDxf="1" sqref="A394:XFD394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394" t="inlineStr">
        <is>
          <t>Реализация мероприятий по устойчивому развитию сельских территорий</t>
        </is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4" t="inlineStr">
        <is>
          <t>10 1 00 L5760</t>
        </is>
      </nc>
      <ndxf>
        <font>
          <i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394" start="0" length="0">
      <dxf>
        <font>
          <i val="0"/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94">
        <f>D396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94">
        <f>E396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94">
        <f>F396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4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I394" start="0" length="0">
      <dxf>
        <fill>
          <patternFill patternType="solid">
            <bgColor theme="0"/>
          </patternFill>
        </fill>
      </dxf>
    </rfmt>
  </rrc>
  <rrc rId="5195" sId="1" ref="A394:XFD394" action="deleteRow">
    <undo index="32" exp="area" ref3D="1" dr="$A$915:$XFD$917" dn="Z_D9B90A86_BE39_4FED_8226_084809D277F3_.wvu.Rows" sId="1"/>
    <undo index="30" exp="area" ref3D="1" dr="$A$855:$XFD$858" dn="Z_D9B90A86_BE39_4FED_8226_084809D277F3_.wvu.Rows" sId="1"/>
    <undo index="28" exp="area" ref3D="1" dr="$A$821:$XFD$826" dn="Z_D9B90A86_BE39_4FED_8226_084809D277F3_.wvu.Rows" sId="1"/>
    <undo index="26" exp="area" ref3D="1" dr="$A$805:$XFD$808" dn="Z_D9B90A86_BE39_4FED_8226_084809D277F3_.wvu.Rows" sId="1"/>
    <undo index="24" exp="area" ref3D="1" dr="$A$676:$XFD$679" dn="Z_D9B90A86_BE39_4FED_8226_084809D277F3_.wvu.Rows" sId="1"/>
    <undo index="22" exp="area" ref3D="1" dr="$A$551:$XFD$553" dn="Z_D9B90A86_BE39_4FED_8226_084809D277F3_.wvu.Rows" sId="1"/>
    <undo index="20" exp="area" ref3D="1" dr="$A$542:$XFD$545" dn="Z_D9B90A86_BE39_4FED_8226_084809D277F3_.wvu.Rows" sId="1"/>
    <undo index="18" exp="area" ref3D="1" dr="$A$528:$XFD$531" dn="Z_D9B90A86_BE39_4FED_8226_084809D277F3_.wvu.Rows" sId="1"/>
    <undo index="16" exp="area" ref3D="1" dr="$A$451:$XFD$455" dn="Z_D9B90A86_BE39_4FED_8226_084809D277F3_.wvu.Rows" sId="1"/>
    <undo index="14" exp="area" ref3D="1" dr="$A$394:$XFD$396" dn="Z_D9B90A86_BE39_4FED_8226_084809D277F3_.wvu.Rows" sId="1"/>
    <rfmt sheetId="1" xfDxf="1" sqref="A394:XFD394" start="0" length="0">
      <dxf>
        <font>
          <name val="Times New Roman"/>
          <scheme val="none"/>
        </font>
        <alignment vertical="center" readingOrder="0"/>
      </dxf>
    </rfmt>
    <rcc rId="0" sId="1" dxf="1">
      <nc r="A394" t="inlineStr">
        <is>
          <t>Социальное обеспечение и иные выплаты населению</t>
        </is>
      </nc>
      <ndxf>
        <fill>
          <patternFill patternType="solid">
            <bgColor theme="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4" t="inlineStr">
        <is>
          <t>10 1 00 L5760</t>
        </is>
      </nc>
      <ndxf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394">
        <v>300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94">
        <f>D395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94">
        <f>E395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94">
        <f>F395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4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I394" start="0" length="0">
      <dxf>
        <fill>
          <patternFill patternType="solid">
            <bgColor theme="0"/>
          </patternFill>
        </fill>
      </dxf>
    </rfmt>
  </rrc>
  <rrc rId="5196" sId="1" ref="A394:XFD394" action="deleteRow">
    <undo index="32" exp="area" ref3D="1" dr="$A$914:$XFD$916" dn="Z_D9B90A86_BE39_4FED_8226_084809D277F3_.wvu.Rows" sId="1"/>
    <undo index="30" exp="area" ref3D="1" dr="$A$854:$XFD$857" dn="Z_D9B90A86_BE39_4FED_8226_084809D277F3_.wvu.Rows" sId="1"/>
    <undo index="28" exp="area" ref3D="1" dr="$A$820:$XFD$825" dn="Z_D9B90A86_BE39_4FED_8226_084809D277F3_.wvu.Rows" sId="1"/>
    <undo index="26" exp="area" ref3D="1" dr="$A$804:$XFD$807" dn="Z_D9B90A86_BE39_4FED_8226_084809D277F3_.wvu.Rows" sId="1"/>
    <undo index="24" exp="area" ref3D="1" dr="$A$675:$XFD$678" dn="Z_D9B90A86_BE39_4FED_8226_084809D277F3_.wvu.Rows" sId="1"/>
    <undo index="22" exp="area" ref3D="1" dr="$A$550:$XFD$552" dn="Z_D9B90A86_BE39_4FED_8226_084809D277F3_.wvu.Rows" sId="1"/>
    <undo index="20" exp="area" ref3D="1" dr="$A$541:$XFD$544" dn="Z_D9B90A86_BE39_4FED_8226_084809D277F3_.wvu.Rows" sId="1"/>
    <undo index="18" exp="area" ref3D="1" dr="$A$527:$XFD$530" dn="Z_D9B90A86_BE39_4FED_8226_084809D277F3_.wvu.Rows" sId="1"/>
    <undo index="16" exp="area" ref3D="1" dr="$A$450:$XFD$454" dn="Z_D9B90A86_BE39_4FED_8226_084809D277F3_.wvu.Rows" sId="1"/>
    <undo index="14" exp="area" ref3D="1" dr="$A$394:$XFD$395" dn="Z_D9B90A86_BE39_4FED_8226_084809D277F3_.wvu.Rows" sId="1"/>
    <rfmt sheetId="1" xfDxf="1" sqref="A394:XFD394" start="0" length="0">
      <dxf>
        <font>
          <name val="Times New Roman"/>
          <scheme val="none"/>
        </font>
        <alignment vertical="center" readingOrder="0"/>
      </dxf>
    </rfmt>
    <rcc rId="0" sId="1" dxf="1">
      <nc r="A394" t="inlineStr">
        <is>
          <t>Социальные выплаты гражданам, кроме публичных нормативных социальных выплат</t>
        </is>
      </nc>
      <ndxf>
        <fill>
          <patternFill patternType="solid">
            <bgColor theme="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4" t="inlineStr">
        <is>
          <t>10 1 00 L5760</t>
        </is>
      </nc>
      <ndxf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394">
        <v>320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394">
        <f>D395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94">
        <f>E395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94">
        <f>F395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4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I394" start="0" length="0">
      <dxf>
        <fill>
          <patternFill patternType="solid">
            <bgColor theme="0"/>
          </patternFill>
        </fill>
      </dxf>
    </rfmt>
  </rrc>
  <rrc rId="5197" sId="1" ref="A394:XFD394" action="deleteRow">
    <undo index="32" exp="area" ref3D="1" dr="$A$913:$XFD$915" dn="Z_D9B90A86_BE39_4FED_8226_084809D277F3_.wvu.Rows" sId="1"/>
    <undo index="30" exp="area" ref3D="1" dr="$A$853:$XFD$856" dn="Z_D9B90A86_BE39_4FED_8226_084809D277F3_.wvu.Rows" sId="1"/>
    <undo index="28" exp="area" ref3D="1" dr="$A$819:$XFD$824" dn="Z_D9B90A86_BE39_4FED_8226_084809D277F3_.wvu.Rows" sId="1"/>
    <undo index="26" exp="area" ref3D="1" dr="$A$803:$XFD$806" dn="Z_D9B90A86_BE39_4FED_8226_084809D277F3_.wvu.Rows" sId="1"/>
    <undo index="24" exp="area" ref3D="1" dr="$A$674:$XFD$677" dn="Z_D9B90A86_BE39_4FED_8226_084809D277F3_.wvu.Rows" sId="1"/>
    <undo index="22" exp="area" ref3D="1" dr="$A$549:$XFD$551" dn="Z_D9B90A86_BE39_4FED_8226_084809D277F3_.wvu.Rows" sId="1"/>
    <undo index="20" exp="area" ref3D="1" dr="$A$540:$XFD$543" dn="Z_D9B90A86_BE39_4FED_8226_084809D277F3_.wvu.Rows" sId="1"/>
    <undo index="18" exp="area" ref3D="1" dr="$A$526:$XFD$529" dn="Z_D9B90A86_BE39_4FED_8226_084809D277F3_.wvu.Rows" sId="1"/>
    <undo index="16" exp="area" ref3D="1" dr="$A$449:$XFD$453" dn="Z_D9B90A86_BE39_4FED_8226_084809D277F3_.wvu.Rows" sId="1"/>
    <undo index="14" exp="area" ref3D="1" dr="$A$394:$XFD$394" dn="Z_D9B90A86_BE39_4FED_8226_084809D277F3_.wvu.Rows" sId="1"/>
    <rfmt sheetId="1" xfDxf="1" sqref="A394:XFD394" start="0" length="0">
      <dxf>
        <font>
          <name val="Times New Roman"/>
          <scheme val="none"/>
        </font>
        <alignment vertical="center" readingOrder="0"/>
      </dxf>
    </rfmt>
    <rcc rId="0" sId="1" dxf="1">
      <nc r="A394" t="inlineStr">
        <is>
          <t>Субсидии гражданам на приобретение жилья</t>
        </is>
      </nc>
      <ndxf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4" t="inlineStr">
        <is>
          <t>10 1 00 L5760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394">
        <v>322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394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94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394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4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I394" start="0" length="0">
      <dxf>
        <fill>
          <patternFill patternType="solid">
            <bgColor theme="0"/>
          </patternFill>
        </fill>
      </dxf>
    </rfmt>
  </rrc>
  <rcc rId="5198" sId="1">
    <oc r="D393">
      <f>#REF!+D394</f>
    </oc>
    <nc r="D393">
      <f>D394</f>
    </nc>
  </rcc>
  <rcc rId="5199" sId="1">
    <oc r="E393">
      <f>#REF!+E394</f>
    </oc>
    <nc r="E393">
      <f>E394</f>
    </nc>
  </rcc>
  <rcc rId="5200" sId="1">
    <oc r="F393">
      <f>#REF!+F394</f>
    </oc>
    <nc r="F393">
      <f>F394</f>
    </nc>
  </rcc>
  <rrc rId="5201" sId="1" ref="A448:XFD448" action="deleteRow">
    <undo index="3" exp="ref" v="1" dr="F448" r="F404" sId="1"/>
    <undo index="3" exp="ref" v="1" dr="E448" r="E404" sId="1"/>
    <undo index="3" exp="ref" v="1" dr="D448" r="D404" sId="1"/>
    <undo index="32" exp="area" ref3D="1" dr="$A$912:$XFD$914" dn="Z_D9B90A86_BE39_4FED_8226_084809D277F3_.wvu.Rows" sId="1"/>
    <undo index="30" exp="area" ref3D="1" dr="$A$852:$XFD$855" dn="Z_D9B90A86_BE39_4FED_8226_084809D277F3_.wvu.Rows" sId="1"/>
    <undo index="28" exp="area" ref3D="1" dr="$A$818:$XFD$823" dn="Z_D9B90A86_BE39_4FED_8226_084809D277F3_.wvu.Rows" sId="1"/>
    <undo index="26" exp="area" ref3D="1" dr="$A$802:$XFD$805" dn="Z_D9B90A86_BE39_4FED_8226_084809D277F3_.wvu.Rows" sId="1"/>
    <undo index="24" exp="area" ref3D="1" dr="$A$673:$XFD$676" dn="Z_D9B90A86_BE39_4FED_8226_084809D277F3_.wvu.Rows" sId="1"/>
    <undo index="22" exp="area" ref3D="1" dr="$A$548:$XFD$550" dn="Z_D9B90A86_BE39_4FED_8226_084809D277F3_.wvu.Rows" sId="1"/>
    <undo index="20" exp="area" ref3D="1" dr="$A$539:$XFD$542" dn="Z_D9B90A86_BE39_4FED_8226_084809D277F3_.wvu.Rows" sId="1"/>
    <undo index="18" exp="area" ref3D="1" dr="$A$525:$XFD$528" dn="Z_D9B90A86_BE39_4FED_8226_084809D277F3_.wvu.Rows" sId="1"/>
    <undo index="16" exp="area" ref3D="1" dr="$A$448:$XFD$452" dn="Z_D9B90A86_BE39_4FED_8226_084809D277F3_.wvu.Rows" sId="1"/>
    <rfmt sheetId="1" xfDxf="1" sqref="A448:XFD448" start="0" length="0">
      <dxf>
        <font>
          <b/>
          <name val="Times New Roman"/>
          <scheme val="none"/>
        </font>
        <alignment vertical="center" readingOrder="0"/>
      </dxf>
    </rfmt>
    <rcc rId="0" sId="1" dxf="1">
      <nc r="A448" t="inlineStr">
        <is>
          <t>Подпрограмма "Развитие туризма"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448" t="inlineStr">
        <is>
          <t>12 3 00 00000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448" start="0" length="0">
      <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448">
        <f>D449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48">
        <f>E449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48">
        <f>F449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I448" start="0" length="0">
      <dxf>
        <fill>
          <patternFill patternType="solid">
            <bgColor theme="0"/>
          </patternFill>
        </fill>
      </dxf>
    </rfmt>
  </rrc>
  <rrc rId="5202" sId="1" ref="A448:XFD448" action="deleteRow">
    <undo index="32" exp="area" ref3D="1" dr="$A$911:$XFD$913" dn="Z_D9B90A86_BE39_4FED_8226_084809D277F3_.wvu.Rows" sId="1"/>
    <undo index="30" exp="area" ref3D="1" dr="$A$851:$XFD$854" dn="Z_D9B90A86_BE39_4FED_8226_084809D277F3_.wvu.Rows" sId="1"/>
    <undo index="28" exp="area" ref3D="1" dr="$A$817:$XFD$822" dn="Z_D9B90A86_BE39_4FED_8226_084809D277F3_.wvu.Rows" sId="1"/>
    <undo index="26" exp="area" ref3D="1" dr="$A$801:$XFD$804" dn="Z_D9B90A86_BE39_4FED_8226_084809D277F3_.wvu.Rows" sId="1"/>
    <undo index="24" exp="area" ref3D="1" dr="$A$672:$XFD$675" dn="Z_D9B90A86_BE39_4FED_8226_084809D277F3_.wvu.Rows" sId="1"/>
    <undo index="22" exp="area" ref3D="1" dr="$A$547:$XFD$549" dn="Z_D9B90A86_BE39_4FED_8226_084809D277F3_.wvu.Rows" sId="1"/>
    <undo index="20" exp="area" ref3D="1" dr="$A$538:$XFD$541" dn="Z_D9B90A86_BE39_4FED_8226_084809D277F3_.wvu.Rows" sId="1"/>
    <undo index="18" exp="area" ref3D="1" dr="$A$524:$XFD$527" dn="Z_D9B90A86_BE39_4FED_8226_084809D277F3_.wvu.Rows" sId="1"/>
    <undo index="16" exp="area" ref3D="1" dr="$A$448:$XFD$451" dn="Z_D9B90A86_BE39_4FED_8226_084809D277F3_.wvu.Rows" sId="1"/>
    <rfmt sheetId="1" xfDxf="1" sqref="A448:XFD448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448" t="inlineStr">
        <is>
          <t>Мероприятия в области туризма</t>
        </is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448" t="inlineStr">
        <is>
          <t>12 3 00 80530</t>
        </is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C448" start="0" length="0">
      <dxf>
        <font>
          <i val="0"/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448">
        <f>D450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48">
        <f>E450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48">
        <f>F450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I448" start="0" length="0">
      <dxf>
        <fill>
          <patternFill patternType="solid">
            <bgColor theme="0"/>
          </patternFill>
        </fill>
      </dxf>
    </rfmt>
  </rrc>
  <rrc rId="5203" sId="1" ref="A448:XFD448" action="deleteRow">
    <undo index="32" exp="area" ref3D="1" dr="$A$910:$XFD$912" dn="Z_D9B90A86_BE39_4FED_8226_084809D277F3_.wvu.Rows" sId="1"/>
    <undo index="30" exp="area" ref3D="1" dr="$A$850:$XFD$853" dn="Z_D9B90A86_BE39_4FED_8226_084809D277F3_.wvu.Rows" sId="1"/>
    <undo index="28" exp="area" ref3D="1" dr="$A$816:$XFD$821" dn="Z_D9B90A86_BE39_4FED_8226_084809D277F3_.wvu.Rows" sId="1"/>
    <undo index="26" exp="area" ref3D="1" dr="$A$800:$XFD$803" dn="Z_D9B90A86_BE39_4FED_8226_084809D277F3_.wvu.Rows" sId="1"/>
    <undo index="24" exp="area" ref3D="1" dr="$A$671:$XFD$674" dn="Z_D9B90A86_BE39_4FED_8226_084809D277F3_.wvu.Rows" sId="1"/>
    <undo index="22" exp="area" ref3D="1" dr="$A$546:$XFD$548" dn="Z_D9B90A86_BE39_4FED_8226_084809D277F3_.wvu.Rows" sId="1"/>
    <undo index="20" exp="area" ref3D="1" dr="$A$537:$XFD$540" dn="Z_D9B90A86_BE39_4FED_8226_084809D277F3_.wvu.Rows" sId="1"/>
    <undo index="18" exp="area" ref3D="1" dr="$A$523:$XFD$526" dn="Z_D9B90A86_BE39_4FED_8226_084809D277F3_.wvu.Rows" sId="1"/>
    <undo index="16" exp="area" ref3D="1" dr="$A$448:$XFD$450" dn="Z_D9B90A86_BE39_4FED_8226_084809D277F3_.wvu.Rows" sId="1"/>
    <rfmt sheetId="1" xfDxf="1" sqref="A448:XFD448" start="0" length="0">
      <dxf>
        <font>
          <name val="Times New Roman"/>
          <scheme val="none"/>
        </font>
        <alignment vertical="center" readingOrder="0"/>
      </dxf>
    </rfmt>
    <rcc rId="0" sId="1" dxf="1">
      <nc r="A448" t="inlineStr">
        <is>
          <t>Предоставление субсидий бюджетным, автономным учреждениям и иным некоммерческим организациям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448" t="inlineStr">
        <is>
          <t>12 3 00 80530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448">
        <v>600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48">
        <f>D449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48">
        <f>E449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48">
        <f>F449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I448" start="0" length="0">
      <dxf>
        <fill>
          <patternFill patternType="solid">
            <bgColor theme="0"/>
          </patternFill>
        </fill>
      </dxf>
    </rfmt>
  </rrc>
  <rrc rId="5204" sId="1" ref="A448:XFD448" action="deleteRow">
    <undo index="32" exp="area" ref3D="1" dr="$A$909:$XFD$911" dn="Z_D9B90A86_BE39_4FED_8226_084809D277F3_.wvu.Rows" sId="1"/>
    <undo index="30" exp="area" ref3D="1" dr="$A$849:$XFD$852" dn="Z_D9B90A86_BE39_4FED_8226_084809D277F3_.wvu.Rows" sId="1"/>
    <undo index="28" exp="area" ref3D="1" dr="$A$815:$XFD$820" dn="Z_D9B90A86_BE39_4FED_8226_084809D277F3_.wvu.Rows" sId="1"/>
    <undo index="26" exp="area" ref3D="1" dr="$A$799:$XFD$802" dn="Z_D9B90A86_BE39_4FED_8226_084809D277F3_.wvu.Rows" sId="1"/>
    <undo index="24" exp="area" ref3D="1" dr="$A$670:$XFD$673" dn="Z_D9B90A86_BE39_4FED_8226_084809D277F3_.wvu.Rows" sId="1"/>
    <undo index="22" exp="area" ref3D="1" dr="$A$545:$XFD$547" dn="Z_D9B90A86_BE39_4FED_8226_084809D277F3_.wvu.Rows" sId="1"/>
    <undo index="20" exp="area" ref3D="1" dr="$A$536:$XFD$539" dn="Z_D9B90A86_BE39_4FED_8226_084809D277F3_.wvu.Rows" sId="1"/>
    <undo index="18" exp="area" ref3D="1" dr="$A$522:$XFD$525" dn="Z_D9B90A86_BE39_4FED_8226_084809D277F3_.wvu.Rows" sId="1"/>
    <undo index="16" exp="area" ref3D="1" dr="$A$448:$XFD$449" dn="Z_D9B90A86_BE39_4FED_8226_084809D277F3_.wvu.Rows" sId="1"/>
    <rfmt sheetId="1" xfDxf="1" sqref="A448:XFD448" start="0" length="0">
      <dxf>
        <font>
          <name val="Times New Roman"/>
          <scheme val="none"/>
        </font>
        <alignment vertical="center" readingOrder="0"/>
      </dxf>
    </rfmt>
    <rcc rId="0" sId="1" dxf="1">
      <nc r="A448" t="inlineStr">
        <is>
          <t>Субсидии бюджетным учреждениям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448" t="inlineStr">
        <is>
          <t>12 3 00 80530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448">
        <v>610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448">
        <f>D449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448">
        <f>E449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448">
        <f>F449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I448" start="0" length="0">
      <dxf>
        <fill>
          <patternFill patternType="solid">
            <bgColor theme="0"/>
          </patternFill>
        </fill>
      </dxf>
    </rfmt>
  </rrc>
  <rrc rId="5205" sId="1" ref="A448:XFD448" action="deleteRow">
    <undo index="32" exp="area" ref3D="1" dr="$A$908:$XFD$910" dn="Z_D9B90A86_BE39_4FED_8226_084809D277F3_.wvu.Rows" sId="1"/>
    <undo index="30" exp="area" ref3D="1" dr="$A$848:$XFD$851" dn="Z_D9B90A86_BE39_4FED_8226_084809D277F3_.wvu.Rows" sId="1"/>
    <undo index="28" exp="area" ref3D="1" dr="$A$814:$XFD$819" dn="Z_D9B90A86_BE39_4FED_8226_084809D277F3_.wvu.Rows" sId="1"/>
    <undo index="26" exp="area" ref3D="1" dr="$A$798:$XFD$801" dn="Z_D9B90A86_BE39_4FED_8226_084809D277F3_.wvu.Rows" sId="1"/>
    <undo index="24" exp="area" ref3D="1" dr="$A$669:$XFD$672" dn="Z_D9B90A86_BE39_4FED_8226_084809D277F3_.wvu.Rows" sId="1"/>
    <undo index="22" exp="area" ref3D="1" dr="$A$544:$XFD$546" dn="Z_D9B90A86_BE39_4FED_8226_084809D277F3_.wvu.Rows" sId="1"/>
    <undo index="20" exp="area" ref3D="1" dr="$A$535:$XFD$538" dn="Z_D9B90A86_BE39_4FED_8226_084809D277F3_.wvu.Rows" sId="1"/>
    <undo index="18" exp="area" ref3D="1" dr="$A$521:$XFD$524" dn="Z_D9B90A86_BE39_4FED_8226_084809D277F3_.wvu.Rows" sId="1"/>
    <undo index="16" exp="area" ref3D="1" dr="$A$448:$XFD$448" dn="Z_D9B90A86_BE39_4FED_8226_084809D277F3_.wvu.Rows" sId="1"/>
    <rfmt sheetId="1" xfDxf="1" sqref="A448:XFD448" start="0" length="0">
      <dxf>
        <font>
          <name val="Times New Roman"/>
          <scheme val="none"/>
        </font>
        <alignment vertical="center" readingOrder="0"/>
      </dxf>
    </rfmt>
    <rcc rId="0" sId="1" dxf="1">
      <nc r="A448" t="inlineStr">
        <is>
          <t>Субсидии бюджетным учреждениям на  иные цели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B448" t="inlineStr">
        <is>
          <t>12 3 00 80530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448">
        <v>612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44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44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44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I448" start="0" length="0">
      <dxf>
        <fill>
          <patternFill patternType="solid">
            <bgColor theme="0"/>
          </patternFill>
        </fill>
      </dxf>
    </rfmt>
  </rrc>
  <rcc rId="5206" sId="1">
    <oc r="D404">
      <f>D405+D423+#REF!+D448</f>
    </oc>
    <nc r="D404">
      <f>D405+D423+D448</f>
    </nc>
  </rcc>
  <rcc rId="5207" sId="1">
    <oc r="E404">
      <f>E405+E423+#REF!+E448</f>
    </oc>
    <nc r="E404">
      <f>E405+E423+E448</f>
    </nc>
  </rcc>
  <rcc rId="5208" sId="1">
    <oc r="F404">
      <f>F405+F423+#REF!+F448</f>
    </oc>
    <nc r="F404">
      <f>F405+F423+F448</f>
    </nc>
  </rcc>
  <rrc rId="5209" sId="1" ref="A520:XFD520" action="deleteRow">
    <undo index="0" exp="ref" v="1" dr="F520" r="F519" sId="1"/>
    <undo index="0" exp="ref" v="1" dr="E520" r="E519" sId="1"/>
    <undo index="0" exp="ref" v="1" dr="D520" r="D519" sId="1"/>
    <undo index="32" exp="area" ref3D="1" dr="$A$907:$XFD$909" dn="Z_D9B90A86_BE39_4FED_8226_084809D277F3_.wvu.Rows" sId="1"/>
    <undo index="30" exp="area" ref3D="1" dr="$A$847:$XFD$850" dn="Z_D9B90A86_BE39_4FED_8226_084809D277F3_.wvu.Rows" sId="1"/>
    <undo index="28" exp="area" ref3D="1" dr="$A$813:$XFD$818" dn="Z_D9B90A86_BE39_4FED_8226_084809D277F3_.wvu.Rows" sId="1"/>
    <undo index="26" exp="area" ref3D="1" dr="$A$797:$XFD$800" dn="Z_D9B90A86_BE39_4FED_8226_084809D277F3_.wvu.Rows" sId="1"/>
    <undo index="24" exp="area" ref3D="1" dr="$A$668:$XFD$671" dn="Z_D9B90A86_BE39_4FED_8226_084809D277F3_.wvu.Rows" sId="1"/>
    <undo index="22" exp="area" ref3D="1" dr="$A$543:$XFD$545" dn="Z_D9B90A86_BE39_4FED_8226_084809D277F3_.wvu.Rows" sId="1"/>
    <undo index="20" exp="area" ref3D="1" dr="$A$534:$XFD$537" dn="Z_D9B90A86_BE39_4FED_8226_084809D277F3_.wvu.Rows" sId="1"/>
    <undo index="18" exp="area" ref3D="1" dr="$A$520:$XFD$523" dn="Z_D9B90A86_BE39_4FED_8226_084809D277F3_.wvu.Rows" sId="1"/>
    <rfmt sheetId="1" xfDxf="1" sqref="A520:XFD520" start="0" length="0">
      <dxf>
        <font>
          <name val="Times New Roman"/>
          <scheme val="none"/>
        </font>
        <alignment vertical="center" readingOrder="0"/>
      </dxf>
    </rfmt>
    <rcc rId="0" sId="1" dxf="1">
      <nc r="A520" t="inlineStr">
        <is>
          <t>Поддержка государственных программ  формирования современной городской среды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20" t="inlineStr">
        <is>
          <t>17 0 F2 55550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520" start="0" length="0">
      <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520">
        <f>D521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20">
        <f>E521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20">
        <f>F521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0" start="0" length="0">
      <dxf>
        <fill>
          <patternFill patternType="solid">
            <bgColor theme="0"/>
          </patternFill>
        </fill>
      </dxf>
    </rfmt>
    <rfmt sheetId="1" sqref="H520" start="0" length="0">
      <dxf>
        <fill>
          <patternFill patternType="solid">
            <bgColor theme="0"/>
          </patternFill>
        </fill>
      </dxf>
    </rfmt>
    <rfmt sheetId="1" sqref="I520" start="0" length="0">
      <dxf>
        <fill>
          <patternFill patternType="solid">
            <bgColor theme="0"/>
          </patternFill>
        </fill>
      </dxf>
    </rfmt>
  </rrc>
  <rrc rId="5210" sId="1" ref="A520:XFD520" action="deleteRow">
    <undo index="32" exp="area" ref3D="1" dr="$A$906:$XFD$908" dn="Z_D9B90A86_BE39_4FED_8226_084809D277F3_.wvu.Rows" sId="1"/>
    <undo index="30" exp="area" ref3D="1" dr="$A$846:$XFD$849" dn="Z_D9B90A86_BE39_4FED_8226_084809D277F3_.wvu.Rows" sId="1"/>
    <undo index="28" exp="area" ref3D="1" dr="$A$812:$XFD$817" dn="Z_D9B90A86_BE39_4FED_8226_084809D277F3_.wvu.Rows" sId="1"/>
    <undo index="26" exp="area" ref3D="1" dr="$A$796:$XFD$799" dn="Z_D9B90A86_BE39_4FED_8226_084809D277F3_.wvu.Rows" sId="1"/>
    <undo index="24" exp="area" ref3D="1" dr="$A$667:$XFD$670" dn="Z_D9B90A86_BE39_4FED_8226_084809D277F3_.wvu.Rows" sId="1"/>
    <undo index="22" exp="area" ref3D="1" dr="$A$542:$XFD$544" dn="Z_D9B90A86_BE39_4FED_8226_084809D277F3_.wvu.Rows" sId="1"/>
    <undo index="20" exp="area" ref3D="1" dr="$A$533:$XFD$536" dn="Z_D9B90A86_BE39_4FED_8226_084809D277F3_.wvu.Rows" sId="1"/>
    <undo index="18" exp="area" ref3D="1" dr="$A$520:$XFD$522" dn="Z_D9B90A86_BE39_4FED_8226_084809D277F3_.wvu.Rows" sId="1"/>
    <rfmt sheetId="1" xfDxf="1" sqref="A520:XFD520" start="0" length="0">
      <dxf>
        <font>
          <name val="Times New Roman"/>
          <scheme val="none"/>
        </font>
        <alignment vertical="center" readingOrder="0"/>
      </dxf>
    </rfmt>
    <rcc rId="0" sId="1" dxf="1">
      <nc r="A520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20" t="inlineStr">
        <is>
          <t>17 0 F2 55550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520">
        <v>200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20">
        <f>D521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20">
        <f>E521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20">
        <f>F521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0" start="0" length="0">
      <dxf>
        <fill>
          <patternFill patternType="solid">
            <bgColor theme="0"/>
          </patternFill>
        </fill>
      </dxf>
    </rfmt>
    <rfmt sheetId="1" sqref="H520" start="0" length="0">
      <dxf>
        <fill>
          <patternFill patternType="solid">
            <bgColor theme="0"/>
          </patternFill>
        </fill>
      </dxf>
    </rfmt>
    <rfmt sheetId="1" sqref="I520" start="0" length="0">
      <dxf>
        <fill>
          <patternFill patternType="solid">
            <bgColor theme="0"/>
          </patternFill>
        </fill>
      </dxf>
    </rfmt>
  </rrc>
  <rrc rId="5211" sId="1" ref="A520:XFD520" action="deleteRow">
    <undo index="32" exp="area" ref3D="1" dr="$A$905:$XFD$907" dn="Z_D9B90A86_BE39_4FED_8226_084809D277F3_.wvu.Rows" sId="1"/>
    <undo index="30" exp="area" ref3D="1" dr="$A$845:$XFD$848" dn="Z_D9B90A86_BE39_4FED_8226_084809D277F3_.wvu.Rows" sId="1"/>
    <undo index="28" exp="area" ref3D="1" dr="$A$811:$XFD$816" dn="Z_D9B90A86_BE39_4FED_8226_084809D277F3_.wvu.Rows" sId="1"/>
    <undo index="26" exp="area" ref3D="1" dr="$A$795:$XFD$798" dn="Z_D9B90A86_BE39_4FED_8226_084809D277F3_.wvu.Rows" sId="1"/>
    <undo index="24" exp="area" ref3D="1" dr="$A$666:$XFD$669" dn="Z_D9B90A86_BE39_4FED_8226_084809D277F3_.wvu.Rows" sId="1"/>
    <undo index="22" exp="area" ref3D="1" dr="$A$541:$XFD$543" dn="Z_D9B90A86_BE39_4FED_8226_084809D277F3_.wvu.Rows" sId="1"/>
    <undo index="20" exp="area" ref3D="1" dr="$A$532:$XFD$535" dn="Z_D9B90A86_BE39_4FED_8226_084809D277F3_.wvu.Rows" sId="1"/>
    <undo index="18" exp="area" ref3D="1" dr="$A$520:$XFD$521" dn="Z_D9B90A86_BE39_4FED_8226_084809D277F3_.wvu.Rows" sId="1"/>
    <rfmt sheetId="1" xfDxf="1" sqref="A520:XFD520" start="0" length="0">
      <dxf>
        <font>
          <name val="Times New Roman"/>
          <scheme val="none"/>
        </font>
        <alignment vertical="center" readingOrder="0"/>
      </dxf>
    </rfmt>
    <rcc rId="0" sId="1" dxf="1">
      <nc r="A520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20" t="inlineStr">
        <is>
          <t>17 0 F2 55550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520">
        <v>240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520">
        <f>D521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20">
        <f>E521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20">
        <f>F521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0" start="0" length="0">
      <dxf>
        <fill>
          <patternFill patternType="solid">
            <bgColor theme="0"/>
          </patternFill>
        </fill>
      </dxf>
    </rfmt>
    <rfmt sheetId="1" sqref="H520" start="0" length="0">
      <dxf>
        <fill>
          <patternFill patternType="solid">
            <bgColor theme="0"/>
          </patternFill>
        </fill>
      </dxf>
    </rfmt>
    <rfmt sheetId="1" sqref="I520" start="0" length="0">
      <dxf>
        <fill>
          <patternFill patternType="solid">
            <bgColor theme="0"/>
          </patternFill>
        </fill>
      </dxf>
    </rfmt>
  </rrc>
  <rrc rId="5212" sId="1" ref="A520:XFD520" action="deleteRow">
    <undo index="32" exp="area" ref3D="1" dr="$A$904:$XFD$906" dn="Z_D9B90A86_BE39_4FED_8226_084809D277F3_.wvu.Rows" sId="1"/>
    <undo index="30" exp="area" ref3D="1" dr="$A$844:$XFD$847" dn="Z_D9B90A86_BE39_4FED_8226_084809D277F3_.wvu.Rows" sId="1"/>
    <undo index="28" exp="area" ref3D="1" dr="$A$810:$XFD$815" dn="Z_D9B90A86_BE39_4FED_8226_084809D277F3_.wvu.Rows" sId="1"/>
    <undo index="26" exp="area" ref3D="1" dr="$A$794:$XFD$797" dn="Z_D9B90A86_BE39_4FED_8226_084809D277F3_.wvu.Rows" sId="1"/>
    <undo index="24" exp="area" ref3D="1" dr="$A$665:$XFD$668" dn="Z_D9B90A86_BE39_4FED_8226_084809D277F3_.wvu.Rows" sId="1"/>
    <undo index="22" exp="area" ref3D="1" dr="$A$540:$XFD$542" dn="Z_D9B90A86_BE39_4FED_8226_084809D277F3_.wvu.Rows" sId="1"/>
    <undo index="20" exp="area" ref3D="1" dr="$A$531:$XFD$534" dn="Z_D9B90A86_BE39_4FED_8226_084809D277F3_.wvu.Rows" sId="1"/>
    <undo index="18" exp="area" ref3D="1" dr="$A$520:$XFD$520" dn="Z_D9B90A86_BE39_4FED_8226_084809D277F3_.wvu.Rows" sId="1"/>
    <rfmt sheetId="1" xfDxf="1" sqref="A520:XFD520" start="0" length="0">
      <dxf>
        <font>
          <name val="Times New Roman"/>
          <scheme val="none"/>
        </font>
        <alignment vertical="center" readingOrder="0"/>
      </dxf>
    </rfmt>
    <rcc rId="0" sId="1" dxf="1">
      <nc r="A520" t="inlineStr">
        <is>
          <t xml:space="preserve">Прочая закупка товаров, работ и услуг </t>
        </is>
      </nc>
      <ndxf>
        <fill>
          <patternFill patternType="solid"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20" t="inlineStr">
        <is>
          <t>17 0 F2 55550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C520">
        <v>244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520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520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20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0" start="0" length="0">
      <dxf>
        <fill>
          <patternFill patternType="solid">
            <bgColor theme="0"/>
          </patternFill>
        </fill>
      </dxf>
    </rfmt>
    <rfmt sheetId="1" sqref="H520" start="0" length="0">
      <dxf>
        <fill>
          <patternFill patternType="solid">
            <bgColor theme="0"/>
          </patternFill>
        </fill>
      </dxf>
    </rfmt>
    <rfmt sheetId="1" sqref="I520" start="0" length="0">
      <dxf>
        <fill>
          <patternFill patternType="solid">
            <bgColor theme="0"/>
          </patternFill>
        </fill>
      </dxf>
    </rfmt>
  </rrc>
  <rcc rId="5213" sId="1">
    <oc r="D519">
      <f>#REF!+D520</f>
    </oc>
    <nc r="D519">
      <f>D520</f>
    </nc>
  </rcc>
  <rcc rId="5214" sId="1">
    <oc r="E519">
      <f>#REF!+E520</f>
    </oc>
    <nc r="E519">
      <f>E520</f>
    </nc>
  </rcc>
  <rcc rId="5215" sId="1">
    <oc r="F519">
      <f>#REF!+F520</f>
    </oc>
    <nc r="F519">
      <f>F520</f>
    </nc>
  </rcc>
  <rrc rId="5216" sId="1" ref="A530:XFD530" action="deleteRow">
    <undo index="0" exp="ref" v="1" dr="F530" r="F529" sId="1"/>
    <undo index="0" exp="ref" v="1" dr="E530" r="E529" sId="1"/>
    <undo index="0" exp="ref" v="1" dr="D530" r="D529" sId="1"/>
    <undo index="32" exp="area" ref3D="1" dr="$A$903:$XFD$905" dn="Z_D9B90A86_BE39_4FED_8226_084809D277F3_.wvu.Rows" sId="1"/>
    <undo index="30" exp="area" ref3D="1" dr="$A$843:$XFD$846" dn="Z_D9B90A86_BE39_4FED_8226_084809D277F3_.wvu.Rows" sId="1"/>
    <undo index="28" exp="area" ref3D="1" dr="$A$809:$XFD$814" dn="Z_D9B90A86_BE39_4FED_8226_084809D277F3_.wvu.Rows" sId="1"/>
    <undo index="26" exp="area" ref3D="1" dr="$A$793:$XFD$796" dn="Z_D9B90A86_BE39_4FED_8226_084809D277F3_.wvu.Rows" sId="1"/>
    <undo index="24" exp="area" ref3D="1" dr="$A$664:$XFD$667" dn="Z_D9B90A86_BE39_4FED_8226_084809D277F3_.wvu.Rows" sId="1"/>
    <undo index="22" exp="area" ref3D="1" dr="$A$539:$XFD$541" dn="Z_D9B90A86_BE39_4FED_8226_084809D277F3_.wvu.Rows" sId="1"/>
    <undo index="20" exp="area" ref3D="1" dr="$A$530:$XFD$533" dn="Z_D9B90A86_BE39_4FED_8226_084809D277F3_.wvu.Rows" sId="1"/>
    <rfmt sheetId="1" xfDxf="1" sqref="A530:XFD530" start="0" length="0">
      <dxf>
        <font>
          <name val="Times New Roman"/>
          <scheme val="none"/>
        </font>
        <alignment vertical="center" readingOrder="0"/>
      </dxf>
    </rfmt>
    <rcc rId="0" sId="1" dxf="1">
      <nc r="A530" t="inlineStr">
        <is>
          <t>Строительство и реконструкция (модернизация) объектов питьевого водоснабжения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30" t="inlineStr">
        <is>
          <t>18 0 F5 52430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530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530">
        <f>D531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30">
        <f>E531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30">
        <f>F531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0" start="0" length="0">
      <dxf>
        <fill>
          <patternFill patternType="solid">
            <bgColor theme="0"/>
          </patternFill>
        </fill>
      </dxf>
    </rfmt>
    <rfmt sheetId="1" sqref="H530" start="0" length="0">
      <dxf>
        <fill>
          <patternFill patternType="solid">
            <bgColor theme="0"/>
          </patternFill>
        </fill>
      </dxf>
    </rfmt>
    <rfmt sheetId="1" sqref="I530" start="0" length="0">
      <dxf>
        <fill>
          <patternFill patternType="solid">
            <bgColor theme="0"/>
          </patternFill>
        </fill>
      </dxf>
    </rfmt>
  </rrc>
  <rrc rId="5217" sId="1" ref="A530:XFD530" action="deleteRow">
    <undo index="32" exp="area" ref3D="1" dr="$A$902:$XFD$904" dn="Z_D9B90A86_BE39_4FED_8226_084809D277F3_.wvu.Rows" sId="1"/>
    <undo index="30" exp="area" ref3D="1" dr="$A$842:$XFD$845" dn="Z_D9B90A86_BE39_4FED_8226_084809D277F3_.wvu.Rows" sId="1"/>
    <undo index="28" exp="area" ref3D="1" dr="$A$808:$XFD$813" dn="Z_D9B90A86_BE39_4FED_8226_084809D277F3_.wvu.Rows" sId="1"/>
    <undo index="26" exp="area" ref3D="1" dr="$A$792:$XFD$795" dn="Z_D9B90A86_BE39_4FED_8226_084809D277F3_.wvu.Rows" sId="1"/>
    <undo index="24" exp="area" ref3D="1" dr="$A$663:$XFD$666" dn="Z_D9B90A86_BE39_4FED_8226_084809D277F3_.wvu.Rows" sId="1"/>
    <undo index="22" exp="area" ref3D="1" dr="$A$538:$XFD$540" dn="Z_D9B90A86_BE39_4FED_8226_084809D277F3_.wvu.Rows" sId="1"/>
    <undo index="20" exp="area" ref3D="1" dr="$A$530:$XFD$532" dn="Z_D9B90A86_BE39_4FED_8226_084809D277F3_.wvu.Rows" sId="1"/>
    <rfmt sheetId="1" xfDxf="1" sqref="A530:XFD530" start="0" length="0">
      <dxf>
        <font>
          <name val="Times New Roman"/>
          <scheme val="none"/>
        </font>
        <alignment vertical="center" readingOrder="0"/>
      </dxf>
    </rfmt>
    <rcc rId="0" sId="1" dxf="1">
      <nc r="A530" t="inlineStr">
        <is>
          <t>Капитальные вложения в объекты государственной (муниципальной) собственности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30" t="inlineStr">
        <is>
          <t>18 0 F5 52430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30">
        <v>400</v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30">
        <f>D531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30">
        <f>E531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30">
        <f>F531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0" start="0" length="0">
      <dxf>
        <fill>
          <patternFill patternType="solid">
            <bgColor theme="0"/>
          </patternFill>
        </fill>
      </dxf>
    </rfmt>
    <rfmt sheetId="1" sqref="H530" start="0" length="0">
      <dxf>
        <fill>
          <patternFill patternType="solid">
            <bgColor theme="0"/>
          </patternFill>
        </fill>
      </dxf>
    </rfmt>
    <rfmt sheetId="1" sqref="I530" start="0" length="0">
      <dxf>
        <fill>
          <patternFill patternType="solid">
            <bgColor theme="0"/>
          </patternFill>
        </fill>
      </dxf>
    </rfmt>
  </rrc>
  <rrc rId="5218" sId="1" ref="A530:XFD530" action="deleteRow">
    <undo index="32" exp="area" ref3D="1" dr="$A$901:$XFD$903" dn="Z_D9B90A86_BE39_4FED_8226_084809D277F3_.wvu.Rows" sId="1"/>
    <undo index="30" exp="area" ref3D="1" dr="$A$841:$XFD$844" dn="Z_D9B90A86_BE39_4FED_8226_084809D277F3_.wvu.Rows" sId="1"/>
    <undo index="28" exp="area" ref3D="1" dr="$A$807:$XFD$812" dn="Z_D9B90A86_BE39_4FED_8226_084809D277F3_.wvu.Rows" sId="1"/>
    <undo index="26" exp="area" ref3D="1" dr="$A$791:$XFD$794" dn="Z_D9B90A86_BE39_4FED_8226_084809D277F3_.wvu.Rows" sId="1"/>
    <undo index="24" exp="area" ref3D="1" dr="$A$662:$XFD$665" dn="Z_D9B90A86_BE39_4FED_8226_084809D277F3_.wvu.Rows" sId="1"/>
    <undo index="22" exp="area" ref3D="1" dr="$A$537:$XFD$539" dn="Z_D9B90A86_BE39_4FED_8226_084809D277F3_.wvu.Rows" sId="1"/>
    <undo index="20" exp="area" ref3D="1" dr="$A$530:$XFD$531" dn="Z_D9B90A86_BE39_4FED_8226_084809D277F3_.wvu.Rows" sId="1"/>
    <rfmt sheetId="1" xfDxf="1" sqref="A530:XFD530" start="0" length="0">
      <dxf>
        <font>
          <name val="Times New Roman"/>
          <scheme val="none"/>
        </font>
        <alignment vertical="center" readingOrder="0"/>
      </dxf>
    </rfmt>
    <rcc rId="0" sId="1" dxf="1">
      <nc r="A530" t="inlineStr">
        <is>
          <t>Бюджетные инвестиции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30" t="inlineStr">
        <is>
          <t>18 0 F5 52430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30">
        <v>410</v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30">
        <f>D531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30">
        <f>E531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30">
        <f>F531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0" start="0" length="0">
      <dxf>
        <fill>
          <patternFill patternType="solid">
            <bgColor theme="0"/>
          </patternFill>
        </fill>
      </dxf>
    </rfmt>
    <rfmt sheetId="1" sqref="H530" start="0" length="0">
      <dxf>
        <fill>
          <patternFill patternType="solid">
            <bgColor theme="0"/>
          </patternFill>
        </fill>
      </dxf>
    </rfmt>
    <rfmt sheetId="1" sqref="I530" start="0" length="0">
      <dxf>
        <fill>
          <patternFill patternType="solid">
            <bgColor theme="0"/>
          </patternFill>
        </fill>
      </dxf>
    </rfmt>
  </rrc>
  <rrc rId="5219" sId="1" ref="A530:XFD530" action="deleteRow">
    <undo index="32" exp="area" ref3D="1" dr="$A$900:$XFD$902" dn="Z_D9B90A86_BE39_4FED_8226_084809D277F3_.wvu.Rows" sId="1"/>
    <undo index="30" exp="area" ref3D="1" dr="$A$840:$XFD$843" dn="Z_D9B90A86_BE39_4FED_8226_084809D277F3_.wvu.Rows" sId="1"/>
    <undo index="28" exp="area" ref3D="1" dr="$A$806:$XFD$811" dn="Z_D9B90A86_BE39_4FED_8226_084809D277F3_.wvu.Rows" sId="1"/>
    <undo index="26" exp="area" ref3D="1" dr="$A$790:$XFD$793" dn="Z_D9B90A86_BE39_4FED_8226_084809D277F3_.wvu.Rows" sId="1"/>
    <undo index="24" exp="area" ref3D="1" dr="$A$661:$XFD$664" dn="Z_D9B90A86_BE39_4FED_8226_084809D277F3_.wvu.Rows" sId="1"/>
    <undo index="22" exp="area" ref3D="1" dr="$A$536:$XFD$538" dn="Z_D9B90A86_BE39_4FED_8226_084809D277F3_.wvu.Rows" sId="1"/>
    <undo index="20" exp="area" ref3D="1" dr="$A$530:$XFD$530" dn="Z_D9B90A86_BE39_4FED_8226_084809D277F3_.wvu.Rows" sId="1"/>
    <rfmt sheetId="1" xfDxf="1" sqref="A530:XFD530" start="0" length="0">
      <dxf>
        <font>
          <name val="Times New Roman"/>
          <scheme val="none"/>
        </font>
        <alignment vertical="center" readingOrder="0"/>
      </dxf>
    </rfmt>
    <rcc rId="0" sId="1" dxf="1">
      <nc r="A530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30" t="inlineStr">
        <is>
          <t>18 0 F5 52430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30">
        <v>414</v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D530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530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30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0" start="0" length="0">
      <dxf>
        <fill>
          <patternFill patternType="solid">
            <bgColor theme="0"/>
          </patternFill>
        </fill>
      </dxf>
    </rfmt>
    <rfmt sheetId="1" sqref="H530" start="0" length="0">
      <dxf>
        <fill>
          <patternFill patternType="solid">
            <bgColor theme="0"/>
          </patternFill>
        </fill>
      </dxf>
    </rfmt>
    <rfmt sheetId="1" sqref="I530" start="0" length="0">
      <dxf>
        <fill>
          <patternFill patternType="solid">
            <bgColor theme="0"/>
          </patternFill>
        </fill>
      </dxf>
    </rfmt>
  </rrc>
  <rrc rId="5220" sId="1" ref="A535:XFD535" action="deleteRow">
    <undo index="1" exp="ref" v="1" dr="F535" r="F534" sId="1"/>
    <undo index="1" exp="ref" v="1" dr="E535" r="E534" sId="1"/>
    <undo index="1" exp="ref" v="1" dr="D535" r="D534" sId="1"/>
    <undo index="32" exp="area" ref3D="1" dr="$A$899:$XFD$901" dn="Z_D9B90A86_BE39_4FED_8226_084809D277F3_.wvu.Rows" sId="1"/>
    <undo index="30" exp="area" ref3D="1" dr="$A$839:$XFD$842" dn="Z_D9B90A86_BE39_4FED_8226_084809D277F3_.wvu.Rows" sId="1"/>
    <undo index="28" exp="area" ref3D="1" dr="$A$805:$XFD$810" dn="Z_D9B90A86_BE39_4FED_8226_084809D277F3_.wvu.Rows" sId="1"/>
    <undo index="26" exp="area" ref3D="1" dr="$A$789:$XFD$792" dn="Z_D9B90A86_BE39_4FED_8226_084809D277F3_.wvu.Rows" sId="1"/>
    <undo index="24" exp="area" ref3D="1" dr="$A$660:$XFD$663" dn="Z_D9B90A86_BE39_4FED_8226_084809D277F3_.wvu.Rows" sId="1"/>
    <undo index="22" exp="area" ref3D="1" dr="$A$535:$XFD$537" dn="Z_D9B90A86_BE39_4FED_8226_084809D277F3_.wvu.Rows" sId="1"/>
    <rfmt sheetId="1" xfDxf="1" sqref="A535:XFD535" start="0" length="0">
      <dxf>
        <font>
          <name val="Times New Roman"/>
          <scheme val="none"/>
        </font>
        <alignment vertical="center" readingOrder="0"/>
      </dxf>
    </rfmt>
    <rcc rId="0" sId="1" dxf="1">
      <nc r="A535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35" t="inlineStr">
        <is>
          <t>18 0 00 83610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35">
        <v>200</v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35">
        <f>D536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35">
        <f>E536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35">
        <f>F536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5" start="0" length="0">
      <dxf>
        <fill>
          <patternFill patternType="solid">
            <bgColor theme="0"/>
          </patternFill>
        </fill>
      </dxf>
    </rfmt>
    <rfmt sheetId="1" sqref="H535" start="0" length="0">
      <dxf>
        <fill>
          <patternFill patternType="solid">
            <bgColor theme="0"/>
          </patternFill>
        </fill>
      </dxf>
    </rfmt>
    <rfmt sheetId="1" sqref="I535" start="0" length="0">
      <dxf>
        <fill>
          <patternFill patternType="solid">
            <bgColor theme="0"/>
          </patternFill>
        </fill>
      </dxf>
    </rfmt>
  </rrc>
  <rrc rId="5221" sId="1" ref="A535:XFD535" action="deleteRow">
    <undo index="32" exp="area" ref3D="1" dr="$A$898:$XFD$900" dn="Z_D9B90A86_BE39_4FED_8226_084809D277F3_.wvu.Rows" sId="1"/>
    <undo index="30" exp="area" ref3D="1" dr="$A$838:$XFD$841" dn="Z_D9B90A86_BE39_4FED_8226_084809D277F3_.wvu.Rows" sId="1"/>
    <undo index="28" exp="area" ref3D="1" dr="$A$804:$XFD$809" dn="Z_D9B90A86_BE39_4FED_8226_084809D277F3_.wvu.Rows" sId="1"/>
    <undo index="26" exp="area" ref3D="1" dr="$A$788:$XFD$791" dn="Z_D9B90A86_BE39_4FED_8226_084809D277F3_.wvu.Rows" sId="1"/>
    <undo index="24" exp="area" ref3D="1" dr="$A$659:$XFD$662" dn="Z_D9B90A86_BE39_4FED_8226_084809D277F3_.wvu.Rows" sId="1"/>
    <undo index="22" exp="area" ref3D="1" dr="$A$535:$XFD$536" dn="Z_D9B90A86_BE39_4FED_8226_084809D277F3_.wvu.Rows" sId="1"/>
    <rfmt sheetId="1" xfDxf="1" sqref="A535:XFD535" start="0" length="0">
      <dxf>
        <font>
          <name val="Times New Roman"/>
          <scheme val="none"/>
        </font>
        <alignment vertical="center" readingOrder="0"/>
      </dxf>
    </rfmt>
    <rcc rId="0" sId="1" dxf="1">
      <nc r="A535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35" t="inlineStr">
        <is>
          <t>18 0 00 83610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35">
        <v>240</v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35">
        <f>D536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35">
        <f>E536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35">
        <f>F536</f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5" start="0" length="0">
      <dxf>
        <fill>
          <patternFill patternType="solid">
            <bgColor theme="0"/>
          </patternFill>
        </fill>
      </dxf>
    </rfmt>
    <rfmt sheetId="1" sqref="H535" start="0" length="0">
      <dxf>
        <fill>
          <patternFill patternType="solid">
            <bgColor theme="0"/>
          </patternFill>
        </fill>
      </dxf>
    </rfmt>
    <rfmt sheetId="1" sqref="I535" start="0" length="0">
      <dxf>
        <fill>
          <patternFill patternType="solid">
            <bgColor theme="0"/>
          </patternFill>
        </fill>
      </dxf>
    </rfmt>
  </rrc>
  <rrc rId="5222" sId="1" ref="A535:XFD535" action="deleteRow">
    <undo index="32" exp="area" ref3D="1" dr="$A$897:$XFD$899" dn="Z_D9B90A86_BE39_4FED_8226_084809D277F3_.wvu.Rows" sId="1"/>
    <undo index="30" exp="area" ref3D="1" dr="$A$837:$XFD$840" dn="Z_D9B90A86_BE39_4FED_8226_084809D277F3_.wvu.Rows" sId="1"/>
    <undo index="28" exp="area" ref3D="1" dr="$A$803:$XFD$808" dn="Z_D9B90A86_BE39_4FED_8226_084809D277F3_.wvu.Rows" sId="1"/>
    <undo index="26" exp="area" ref3D="1" dr="$A$787:$XFD$790" dn="Z_D9B90A86_BE39_4FED_8226_084809D277F3_.wvu.Rows" sId="1"/>
    <undo index="24" exp="area" ref3D="1" dr="$A$658:$XFD$661" dn="Z_D9B90A86_BE39_4FED_8226_084809D277F3_.wvu.Rows" sId="1"/>
    <undo index="22" exp="area" ref3D="1" dr="$A$535:$XFD$535" dn="Z_D9B90A86_BE39_4FED_8226_084809D277F3_.wvu.Rows" sId="1"/>
    <rfmt sheetId="1" xfDxf="1" sqref="A535:XFD535" start="0" length="0">
      <dxf>
        <font>
          <name val="Times New Roman"/>
          <scheme val="none"/>
        </font>
        <alignment vertical="center" readingOrder="0"/>
      </dxf>
    </rfmt>
    <rcc rId="0" sId="1" dxf="1">
      <nc r="A535" t="inlineStr">
        <is>
          <t xml:space="preserve">Прочая закупка товаров, работ и услуг 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35" t="inlineStr">
        <is>
          <t>18 0 00 83610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35">
        <v>244</v>
      </nc>
      <ndxf>
        <font>
          <name val="Times New Roman Cyr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535">
        <v>0</v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35">
        <v>0</v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535">
        <v>0</v>
      </nc>
      <ndxf>
        <numFmt numFmtId="167" formatCode="_(* #,##0.00_);_(* \(#,##0.00\);_(* &quot;-&quot;??_);_(@_)"/>
        <fill>
          <patternFill patternType="solid">
            <bgColor theme="0"/>
          </patternFill>
        </fill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5" start="0" length="0">
      <dxf>
        <fill>
          <patternFill patternType="solid">
            <bgColor theme="0"/>
          </patternFill>
        </fill>
      </dxf>
    </rfmt>
    <rfmt sheetId="1" sqref="H535" start="0" length="0">
      <dxf>
        <fill>
          <patternFill patternType="solid">
            <bgColor theme="0"/>
          </patternFill>
        </fill>
      </dxf>
    </rfmt>
    <rfmt sheetId="1" sqref="I535" start="0" length="0">
      <dxf>
        <fill>
          <patternFill patternType="solid">
            <bgColor theme="0"/>
          </patternFill>
        </fill>
      </dxf>
    </rfmt>
  </rrc>
  <rrc rId="5223" sId="1" ref="A551:XFD551" action="deleteRow">
    <undo index="1" exp="ref" v="1" dr="F551" r="F544" sId="1"/>
    <undo index="1" exp="ref" v="1" dr="E551" r="E544" sId="1"/>
    <undo index="1" exp="ref" v="1" dr="D551" r="D544" sId="1"/>
    <undo index="32" exp="area" ref3D="1" dr="$A$896:$XFD$898" dn="Z_D9B90A86_BE39_4FED_8226_084809D277F3_.wvu.Rows" sId="1"/>
    <undo index="30" exp="area" ref3D="1" dr="$A$836:$XFD$839" dn="Z_D9B90A86_BE39_4FED_8226_084809D277F3_.wvu.Rows" sId="1"/>
    <undo index="28" exp="area" ref3D="1" dr="$A$802:$XFD$807" dn="Z_D9B90A86_BE39_4FED_8226_084809D277F3_.wvu.Rows" sId="1"/>
    <undo index="26" exp="area" ref3D="1" dr="$A$786:$XFD$789" dn="Z_D9B90A86_BE39_4FED_8226_084809D277F3_.wvu.Rows" sId="1"/>
    <undo index="24" exp="area" ref3D="1" dr="$A$657:$XFD$660" dn="Z_D9B90A86_BE39_4FED_8226_084809D277F3_.wvu.Rows" sId="1"/>
    <rfmt sheetId="1" xfDxf="1" sqref="A551:XFD551" start="0" length="0">
      <dxf>
        <font>
          <name val="Times New Roman"/>
          <scheme val="none"/>
        </font>
        <alignment vertical="center" readingOrder="0"/>
      </dxf>
    </rfmt>
    <rcc rId="0" sId="1" dxf="1">
      <nc r="A551" t="inlineStr">
        <is>
          <t xml:space="preserve">Иные бюджетные ассигнования 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1" t="inlineStr">
        <is>
          <t>19 0 F3 67483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51">
        <v>800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51">
        <f>D552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51">
        <f>E552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51">
        <f>F552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51" start="0" length="0">
      <dxf>
        <fill>
          <patternFill patternType="solid">
            <bgColor theme="0"/>
          </patternFill>
        </fill>
      </dxf>
    </rfmt>
    <rfmt sheetId="1" sqref="H551" start="0" length="0">
      <dxf>
        <fill>
          <patternFill patternType="solid">
            <bgColor theme="0"/>
          </patternFill>
        </fill>
      </dxf>
    </rfmt>
    <rfmt sheetId="1" sqref="I551" start="0" length="0">
      <dxf>
        <fill>
          <patternFill patternType="solid">
            <bgColor theme="0"/>
          </patternFill>
        </fill>
      </dxf>
    </rfmt>
  </rrc>
  <rrc rId="5224" sId="1" ref="A551:XFD551" action="deleteRow">
    <undo index="32" exp="area" ref3D="1" dr="$A$895:$XFD$897" dn="Z_D9B90A86_BE39_4FED_8226_084809D277F3_.wvu.Rows" sId="1"/>
    <undo index="30" exp="area" ref3D="1" dr="$A$835:$XFD$838" dn="Z_D9B90A86_BE39_4FED_8226_084809D277F3_.wvu.Rows" sId="1"/>
    <undo index="28" exp="area" ref3D="1" dr="$A$801:$XFD$806" dn="Z_D9B90A86_BE39_4FED_8226_084809D277F3_.wvu.Rows" sId="1"/>
    <undo index="26" exp="area" ref3D="1" dr="$A$785:$XFD$788" dn="Z_D9B90A86_BE39_4FED_8226_084809D277F3_.wvu.Rows" sId="1"/>
    <undo index="24" exp="area" ref3D="1" dr="$A$656:$XFD$659" dn="Z_D9B90A86_BE39_4FED_8226_084809D277F3_.wvu.Rows" sId="1"/>
    <rfmt sheetId="1" xfDxf="1" sqref="A551:XFD551" start="0" length="0">
      <dxf>
        <font>
          <name val="Times New Roman"/>
          <scheme val="none"/>
        </font>
        <alignment vertical="center" readingOrder="0"/>
      </dxf>
    </rfmt>
    <rcc rId="0" sId="1" dxf="1">
      <nc r="A551" t="inlineStr">
        <is>
          <t>Уплата налогов, сборов и иных платежей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51" t="inlineStr">
        <is>
          <t>19 0 F3 67483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51">
        <v>850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551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51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551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51" start="0" length="0">
      <dxf>
        <fill>
          <patternFill patternType="solid">
            <bgColor theme="0"/>
          </patternFill>
        </fill>
      </dxf>
    </rfmt>
    <rfmt sheetId="1" sqref="H551" start="0" length="0">
      <dxf>
        <fill>
          <patternFill patternType="solid">
            <bgColor theme="0"/>
          </patternFill>
        </fill>
      </dxf>
    </rfmt>
    <rfmt sheetId="1" sqref="I551" start="0" length="0">
      <dxf>
        <fill>
          <patternFill patternType="solid">
            <bgColor theme="0"/>
          </patternFill>
        </fill>
      </dxf>
    </rfmt>
  </rrc>
  <rrc rId="5225" sId="1" ref="A558:XFD558" action="deleteRow">
    <undo index="1" exp="ref" v="1" dr="F558" r="F551" sId="1"/>
    <undo index="1" exp="ref" v="1" dr="E558" r="E551" sId="1"/>
    <undo index="1" exp="ref" v="1" dr="D558" r="D551" sId="1"/>
    <undo index="32" exp="area" ref3D="1" dr="$A$894:$XFD$896" dn="Z_D9B90A86_BE39_4FED_8226_084809D277F3_.wvu.Rows" sId="1"/>
    <undo index="30" exp="area" ref3D="1" dr="$A$834:$XFD$837" dn="Z_D9B90A86_BE39_4FED_8226_084809D277F3_.wvu.Rows" sId="1"/>
    <undo index="28" exp="area" ref3D="1" dr="$A$800:$XFD$805" dn="Z_D9B90A86_BE39_4FED_8226_084809D277F3_.wvu.Rows" sId="1"/>
    <undo index="26" exp="area" ref3D="1" dr="$A$784:$XFD$787" dn="Z_D9B90A86_BE39_4FED_8226_084809D277F3_.wvu.Rows" sId="1"/>
    <undo index="24" exp="area" ref3D="1" dr="$A$655:$XFD$658" dn="Z_D9B90A86_BE39_4FED_8226_084809D277F3_.wvu.Rows" sId="1"/>
    <rfmt sheetId="1" xfDxf="1" sqref="A558:XFD558" start="0" length="0">
      <dxf>
        <font>
          <name val="Times New Roman"/>
          <scheme val="none"/>
        </font>
        <alignment vertical="center" readingOrder="0"/>
      </dxf>
    </rfmt>
    <rcc rId="0" sId="1" dxf="1">
      <nc r="A558" t="inlineStr">
        <is>
          <t xml:space="preserve">Иные бюджетные ассигнования 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8" t="inlineStr">
        <is>
          <t>19 0 F3 67484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58">
        <v>800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58">
        <f>D559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58">
        <f>E559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58">
        <f>F559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58" start="0" length="0">
      <dxf>
        <fill>
          <patternFill patternType="solid">
            <bgColor theme="0"/>
          </patternFill>
        </fill>
      </dxf>
    </rfmt>
    <rfmt sheetId="1" sqref="H558" start="0" length="0">
      <dxf>
        <fill>
          <patternFill patternType="solid">
            <bgColor theme="0"/>
          </patternFill>
        </fill>
      </dxf>
    </rfmt>
    <rfmt sheetId="1" sqref="I558" start="0" length="0">
      <dxf>
        <fill>
          <patternFill patternType="solid">
            <bgColor theme="0"/>
          </patternFill>
        </fill>
      </dxf>
    </rfmt>
  </rrc>
  <rrc rId="5226" sId="1" ref="A558:XFD558" action="deleteRow">
    <undo index="32" exp="area" ref3D="1" dr="$A$893:$XFD$895" dn="Z_D9B90A86_BE39_4FED_8226_084809D277F3_.wvu.Rows" sId="1"/>
    <undo index="30" exp="area" ref3D="1" dr="$A$833:$XFD$836" dn="Z_D9B90A86_BE39_4FED_8226_084809D277F3_.wvu.Rows" sId="1"/>
    <undo index="28" exp="area" ref3D="1" dr="$A$799:$XFD$804" dn="Z_D9B90A86_BE39_4FED_8226_084809D277F3_.wvu.Rows" sId="1"/>
    <undo index="26" exp="area" ref3D="1" dr="$A$783:$XFD$786" dn="Z_D9B90A86_BE39_4FED_8226_084809D277F3_.wvu.Rows" sId="1"/>
    <undo index="24" exp="area" ref3D="1" dr="$A$654:$XFD$657" dn="Z_D9B90A86_BE39_4FED_8226_084809D277F3_.wvu.Rows" sId="1"/>
    <rfmt sheetId="1" xfDxf="1" sqref="A558:XFD558" start="0" length="0">
      <dxf>
        <font>
          <name val="Times New Roman"/>
          <scheme val="none"/>
        </font>
        <alignment vertical="center" readingOrder="0"/>
      </dxf>
    </rfmt>
    <rcc rId="0" sId="1" dxf="1">
      <nc r="A558" t="inlineStr">
        <is>
          <t>Уплата налогов, сборов и иных платежей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58" t="inlineStr">
        <is>
          <t>19 0 F3 67484</t>
        </is>
      </nc>
      <ndxf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558">
        <v>850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55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5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55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58" start="0" length="0">
      <dxf>
        <fill>
          <patternFill patternType="solid">
            <bgColor theme="0"/>
          </patternFill>
        </fill>
      </dxf>
    </rfmt>
    <rfmt sheetId="1" sqref="H558" start="0" length="0">
      <dxf>
        <fill>
          <patternFill patternType="solid">
            <bgColor theme="0"/>
          </patternFill>
        </fill>
      </dxf>
    </rfmt>
    <rfmt sheetId="1" sqref="I558" start="0" length="0">
      <dxf>
        <fill>
          <patternFill patternType="solid">
            <bgColor theme="0"/>
          </patternFill>
        </fill>
      </dxf>
    </rfmt>
  </rrc>
  <rrc rId="5227" sId="1" ref="A562:XFD562" action="deleteRow">
    <undo index="1" exp="ref" v="1" dr="F562" r="F558" sId="1"/>
    <undo index="1" exp="ref" v="1" dr="E562" r="E558" sId="1"/>
    <undo index="1" exp="ref" v="1" dr="D562" r="D558" sId="1"/>
    <undo index="32" exp="area" ref3D="1" dr="$A$892:$XFD$894" dn="Z_D9B90A86_BE39_4FED_8226_084809D277F3_.wvu.Rows" sId="1"/>
    <undo index="30" exp="area" ref3D="1" dr="$A$832:$XFD$835" dn="Z_D9B90A86_BE39_4FED_8226_084809D277F3_.wvu.Rows" sId="1"/>
    <undo index="28" exp="area" ref3D="1" dr="$A$798:$XFD$803" dn="Z_D9B90A86_BE39_4FED_8226_084809D277F3_.wvu.Rows" sId="1"/>
    <undo index="26" exp="area" ref3D="1" dr="$A$782:$XFD$785" dn="Z_D9B90A86_BE39_4FED_8226_084809D277F3_.wvu.Rows" sId="1"/>
    <undo index="24" exp="area" ref3D="1" dr="$A$653:$XFD$656" dn="Z_D9B90A86_BE39_4FED_8226_084809D277F3_.wvu.Rows" sId="1"/>
    <rfmt sheetId="1" xfDxf="1" sqref="A562:XFD562" start="0" length="0">
      <dxf>
        <font>
          <name val="Times New Roman"/>
          <scheme val="none"/>
        </font>
        <alignment vertical="center" readingOrder="0"/>
      </dxf>
    </rfmt>
    <rcc rId="0" sId="1" dxf="1">
      <nc r="A562" t="inlineStr">
        <is>
          <t xml:space="preserve">Иные бюджетные ассигнования 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2" t="inlineStr">
        <is>
          <t>19 0 F3 6748S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C562">
        <v>800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562">
        <f>D563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562">
        <f>E563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562">
        <f>F563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2" start="0" length="0">
      <dxf>
        <fill>
          <patternFill patternType="solid">
            <bgColor theme="0"/>
          </patternFill>
        </fill>
      </dxf>
    </rfmt>
    <rfmt sheetId="1" sqref="H562" start="0" length="0">
      <dxf>
        <fill>
          <patternFill patternType="solid">
            <bgColor theme="0"/>
          </patternFill>
        </fill>
      </dxf>
    </rfmt>
    <rfmt sheetId="1" sqref="I562" start="0" length="0">
      <dxf>
        <fill>
          <patternFill patternType="solid">
            <bgColor theme="0"/>
          </patternFill>
        </fill>
      </dxf>
    </rfmt>
  </rrc>
  <rrc rId="5228" sId="1" ref="A562:XFD562" action="deleteRow">
    <undo index="32" exp="area" ref3D="1" dr="$A$891:$XFD$893" dn="Z_D9B90A86_BE39_4FED_8226_084809D277F3_.wvu.Rows" sId="1"/>
    <undo index="30" exp="area" ref3D="1" dr="$A$831:$XFD$834" dn="Z_D9B90A86_BE39_4FED_8226_084809D277F3_.wvu.Rows" sId="1"/>
    <undo index="28" exp="area" ref3D="1" dr="$A$797:$XFD$802" dn="Z_D9B90A86_BE39_4FED_8226_084809D277F3_.wvu.Rows" sId="1"/>
    <undo index="26" exp="area" ref3D="1" dr="$A$781:$XFD$784" dn="Z_D9B90A86_BE39_4FED_8226_084809D277F3_.wvu.Rows" sId="1"/>
    <undo index="24" exp="area" ref3D="1" dr="$A$652:$XFD$655" dn="Z_D9B90A86_BE39_4FED_8226_084809D277F3_.wvu.Rows" sId="1"/>
    <rfmt sheetId="1" xfDxf="1" sqref="A562:XFD562" start="0" length="0">
      <dxf>
        <font>
          <name val="Times New Roman"/>
          <scheme val="none"/>
        </font>
        <alignment vertical="center" readingOrder="0"/>
      </dxf>
    </rfmt>
    <rcc rId="0" sId="1" dxf="1">
      <nc r="A562" t="inlineStr">
        <is>
          <t>Уплата налогов, сборов и иных платежей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562" t="inlineStr">
        <is>
          <t>19 0 F3 6748S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C562">
        <v>850</v>
      </nc>
      <n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562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62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562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2" start="0" length="0">
      <dxf>
        <fill>
          <patternFill patternType="solid">
            <bgColor theme="0"/>
          </patternFill>
        </fill>
      </dxf>
    </rfmt>
    <rfmt sheetId="1" sqref="H562" start="0" length="0">
      <dxf>
        <fill>
          <patternFill patternType="solid">
            <bgColor theme="0"/>
          </patternFill>
        </fill>
      </dxf>
    </rfmt>
    <rfmt sheetId="1" sqref="I562" start="0" length="0">
      <dxf>
        <fill>
          <patternFill patternType="solid">
            <bgColor theme="0"/>
          </patternFill>
        </fill>
      </dxf>
    </rfmt>
  </rrc>
  <rcc rId="5229" sId="1">
    <oc r="D558">
      <f>D560+#REF!</f>
    </oc>
    <nc r="D558">
      <f>D560</f>
    </nc>
  </rcc>
  <rcc rId="5230" sId="1">
    <oc r="E558">
      <f>E560+#REF!</f>
    </oc>
    <nc r="E558">
      <f>E560</f>
    </nc>
  </rcc>
  <rcc rId="5231" sId="1">
    <oc r="F558">
      <f>F560+#REF!</f>
    </oc>
    <nc r="F558">
      <f>F560</f>
    </nc>
  </rcc>
  <rcc rId="5232" sId="1">
    <oc r="D551">
      <f>D556+#REF!+D552</f>
    </oc>
    <nc r="D551">
      <f>D556+D552</f>
    </nc>
  </rcc>
  <rcc rId="5233" sId="1">
    <oc r="E551">
      <f>E556+#REF!+E552</f>
    </oc>
    <nc r="E551">
      <f>E556+E552</f>
    </nc>
  </rcc>
  <rcc rId="5234" sId="1">
    <oc r="F551">
      <f>F556+#REF!+F552</f>
    </oc>
    <nc r="F551">
      <f>F556+F552</f>
    </nc>
  </rcc>
  <rcc rId="5235" sId="1">
    <oc r="D544">
      <f>D549+#REF!+D545</f>
    </oc>
    <nc r="D544">
      <f>D549+D545</f>
    </nc>
  </rcc>
  <rcc rId="5236" sId="1">
    <oc r="E544">
      <f>E549+#REF!</f>
    </oc>
    <nc r="E544">
      <f>E549+E545</f>
    </nc>
  </rcc>
  <rcc rId="5237" sId="1">
    <oc r="F544">
      <f>F549+#REF!</f>
    </oc>
    <nc r="F544">
      <f>F549+F545</f>
    </nc>
  </rcc>
  <rcc rId="5238" sId="1">
    <oc r="D534">
      <f>D535+#REF!</f>
    </oc>
    <nc r="D534">
      <f>D535</f>
    </nc>
  </rcc>
  <rcc rId="5239" sId="1">
    <oc r="E534">
      <f>E535+#REF!</f>
    </oc>
    <nc r="E534">
      <f>E535</f>
    </nc>
  </rcc>
  <rcc rId="5240" sId="1">
    <oc r="F534">
      <f>F535+#REF!</f>
    </oc>
    <nc r="F534">
      <f>F535</f>
    </nc>
  </rcc>
  <rcc rId="5241" sId="1">
    <oc r="D529">
      <f>#REF!+D530</f>
    </oc>
    <nc r="D529">
      <f>D530</f>
    </nc>
  </rcc>
  <rcc rId="5242" sId="1">
    <oc r="E524">
      <f>E525+E529+E534</f>
    </oc>
    <nc r="E524">
      <f>E525+E529+E534</f>
    </nc>
  </rcc>
  <rcc rId="5243" sId="1">
    <oc r="F524">
      <f>F525+F529+F534</f>
    </oc>
    <nc r="F524">
      <f>F525+F529+F534</f>
    </nc>
  </rcc>
  <rcc rId="5244" sId="1">
    <oc r="E529">
      <f>#REF!+E530</f>
    </oc>
    <nc r="E529">
      <f>E530</f>
    </nc>
  </rcc>
  <rcc rId="5245" sId="1">
    <oc r="F529">
      <f>#REF!+F530</f>
    </oc>
    <nc r="F529">
      <f>F530</f>
    </nc>
  </rcc>
  <rrc rId="5246" sId="1" ref="A651:XFD651" action="deleteRow">
    <undo index="3" exp="ref" v="1" dr="F651" r="F650" sId="1"/>
    <undo index="3" exp="ref" v="1" dr="E651" r="E650" sId="1"/>
    <undo index="3" exp="ref" v="1" dr="D651" r="D650" sId="1"/>
    <undo index="32" exp="area" ref3D="1" dr="$A$890:$XFD$892" dn="Z_D9B90A86_BE39_4FED_8226_084809D277F3_.wvu.Rows" sId="1"/>
    <undo index="30" exp="area" ref3D="1" dr="$A$830:$XFD$833" dn="Z_D9B90A86_BE39_4FED_8226_084809D277F3_.wvu.Rows" sId="1"/>
    <undo index="28" exp="area" ref3D="1" dr="$A$796:$XFD$801" dn="Z_D9B90A86_BE39_4FED_8226_084809D277F3_.wvu.Rows" sId="1"/>
    <undo index="26" exp="area" ref3D="1" dr="$A$780:$XFD$783" dn="Z_D9B90A86_BE39_4FED_8226_084809D277F3_.wvu.Rows" sId="1"/>
    <undo index="24" exp="area" ref3D="1" dr="$A$651:$XFD$654" dn="Z_D9B90A86_BE39_4FED_8226_084809D277F3_.wvu.Rows" sId="1"/>
    <rfmt sheetId="1" xfDxf="1" sqref="A651:XFD651" start="0" length="0">
      <dxf>
        <font>
          <name val="Times New Roman"/>
          <scheme val="none"/>
        </font>
      </dxf>
    </rfmt>
    <rcc rId="0" sId="1" dxf="1">
      <nc r="A651" t="inlineStr">
        <is>
    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51" t="inlineStr">
        <is>
          <t>54 1 00 51200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51" start="0" length="0">
      <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651">
        <f>D653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51">
        <f>E653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51">
        <f>F653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ill>
          <patternFill patternType="solid">
            <bgColor theme="0"/>
          </patternFill>
        </fill>
      </dxf>
    </rfmt>
    <rfmt sheetId="1" sqref="H651" start="0" length="0">
      <dxf>
        <fill>
          <patternFill patternType="solid">
            <bgColor theme="0"/>
          </patternFill>
        </fill>
      </dxf>
    </rfmt>
    <rfmt sheetId="1" sqref="I651" start="0" length="0">
      <dxf>
        <fill>
          <patternFill patternType="solid">
            <bgColor theme="0"/>
          </patternFill>
        </fill>
      </dxf>
    </rfmt>
  </rrc>
  <rrc rId="5247" sId="1" ref="A651:XFD651" action="deleteRow">
    <undo index="32" exp="area" ref3D="1" dr="$A$889:$XFD$891" dn="Z_D9B90A86_BE39_4FED_8226_084809D277F3_.wvu.Rows" sId="1"/>
    <undo index="30" exp="area" ref3D="1" dr="$A$829:$XFD$832" dn="Z_D9B90A86_BE39_4FED_8226_084809D277F3_.wvu.Rows" sId="1"/>
    <undo index="28" exp="area" ref3D="1" dr="$A$795:$XFD$800" dn="Z_D9B90A86_BE39_4FED_8226_084809D277F3_.wvu.Rows" sId="1"/>
    <undo index="26" exp="area" ref3D="1" dr="$A$779:$XFD$782" dn="Z_D9B90A86_BE39_4FED_8226_084809D277F3_.wvu.Rows" sId="1"/>
    <undo index="24" exp="area" ref3D="1" dr="$A$651:$XFD$653" dn="Z_D9B90A86_BE39_4FED_8226_084809D277F3_.wvu.Rows" sId="1"/>
    <rfmt sheetId="1" xfDxf="1" sqref="A651:XFD651" start="0" length="0">
      <dxf>
        <font>
          <name val="Times New Roman"/>
          <scheme val="none"/>
        </font>
      </dxf>
    </rfmt>
    <rcc rId="0" sId="1" dxf="1">
      <nc r="A651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51" t="inlineStr">
        <is>
          <t>54 1 00 51200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>
        <v>200</v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51">
        <f>D652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51">
        <f>E652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51">
        <f>F652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ill>
          <patternFill patternType="solid">
            <bgColor theme="0"/>
          </patternFill>
        </fill>
      </dxf>
    </rfmt>
    <rfmt sheetId="1" sqref="H651" start="0" length="0">
      <dxf>
        <fill>
          <patternFill patternType="solid">
            <bgColor theme="0"/>
          </patternFill>
        </fill>
      </dxf>
    </rfmt>
    <rfmt sheetId="1" sqref="I651" start="0" length="0">
      <dxf>
        <fill>
          <patternFill patternType="solid">
            <bgColor theme="0"/>
          </patternFill>
        </fill>
      </dxf>
    </rfmt>
  </rrc>
  <rrc rId="5248" sId="1" ref="A651:XFD651" action="deleteRow">
    <undo index="32" exp="area" ref3D="1" dr="$A$888:$XFD$890" dn="Z_D9B90A86_BE39_4FED_8226_084809D277F3_.wvu.Rows" sId="1"/>
    <undo index="30" exp="area" ref3D="1" dr="$A$828:$XFD$831" dn="Z_D9B90A86_BE39_4FED_8226_084809D277F3_.wvu.Rows" sId="1"/>
    <undo index="28" exp="area" ref3D="1" dr="$A$794:$XFD$799" dn="Z_D9B90A86_BE39_4FED_8226_084809D277F3_.wvu.Rows" sId="1"/>
    <undo index="26" exp="area" ref3D="1" dr="$A$778:$XFD$781" dn="Z_D9B90A86_BE39_4FED_8226_084809D277F3_.wvu.Rows" sId="1"/>
    <undo index="24" exp="area" ref3D="1" dr="$A$651:$XFD$652" dn="Z_D9B90A86_BE39_4FED_8226_084809D277F3_.wvu.Rows" sId="1"/>
    <rfmt sheetId="1" xfDxf="1" sqref="A651:XFD651" start="0" length="0">
      <dxf>
        <font>
          <name val="Times New Roman"/>
          <scheme val="none"/>
        </font>
      </dxf>
    </rfmt>
    <rcc rId="0" sId="1" dxf="1">
      <nc r="A651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51" t="inlineStr">
        <is>
          <t>54 1 00 51200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>
        <v>240</v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651">
        <f>D652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651">
        <f>E652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651">
        <f>F652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ill>
          <patternFill patternType="solid">
            <bgColor theme="0"/>
          </patternFill>
        </fill>
      </dxf>
    </rfmt>
    <rfmt sheetId="1" sqref="H651" start="0" length="0">
      <dxf>
        <fill>
          <patternFill patternType="solid">
            <bgColor theme="0"/>
          </patternFill>
        </fill>
      </dxf>
    </rfmt>
    <rfmt sheetId="1" sqref="I651" start="0" length="0">
      <dxf>
        <fill>
          <patternFill patternType="solid">
            <bgColor theme="0"/>
          </patternFill>
        </fill>
      </dxf>
    </rfmt>
  </rrc>
  <rrc rId="5249" sId="1" ref="A651:XFD651" action="deleteRow">
    <undo index="32" exp="area" ref3D="1" dr="$A$887:$XFD$889" dn="Z_D9B90A86_BE39_4FED_8226_084809D277F3_.wvu.Rows" sId="1"/>
    <undo index="30" exp="area" ref3D="1" dr="$A$827:$XFD$830" dn="Z_D9B90A86_BE39_4FED_8226_084809D277F3_.wvu.Rows" sId="1"/>
    <undo index="28" exp="area" ref3D="1" dr="$A$793:$XFD$798" dn="Z_D9B90A86_BE39_4FED_8226_084809D277F3_.wvu.Rows" sId="1"/>
    <undo index="26" exp="area" ref3D="1" dr="$A$777:$XFD$780" dn="Z_D9B90A86_BE39_4FED_8226_084809D277F3_.wvu.Rows" sId="1"/>
    <undo index="24" exp="area" ref3D="1" dr="$A$651:$XFD$651" dn="Z_D9B90A86_BE39_4FED_8226_084809D277F3_.wvu.Rows" sId="1"/>
    <rfmt sheetId="1" xfDxf="1" sqref="A651:XFD651" start="0" length="0">
      <dxf>
        <font>
          <name val="Times New Roman"/>
          <scheme val="none"/>
        </font>
      </dxf>
    </rfmt>
    <rcc rId="0" sId="1" dxf="1">
      <nc r="A651" t="inlineStr">
        <is>
          <t>Прочая закупка товаров, работ и услуг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651" t="inlineStr">
        <is>
          <t>54 1 00 51200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>
        <v>244</v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651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651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651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ill>
          <patternFill patternType="solid">
            <bgColor theme="0"/>
          </patternFill>
        </fill>
      </dxf>
    </rfmt>
    <rfmt sheetId="1" sqref="H651" start="0" length="0">
      <dxf>
        <fill>
          <patternFill patternType="solid">
            <bgColor theme="0"/>
          </patternFill>
        </fill>
      </dxf>
    </rfmt>
    <rfmt sheetId="1" sqref="I651" start="0" length="0">
      <dxf>
        <fill>
          <patternFill patternType="solid">
            <bgColor theme="0"/>
          </patternFill>
        </fill>
      </dxf>
    </rfmt>
  </rrc>
  <rcc rId="5250" sId="1">
    <oc r="D650">
      <f>D682+D659+#REF!+D651+D655+D678</f>
    </oc>
    <nc r="D650">
      <f>D682+D659+D651+D655+D678</f>
    </nc>
  </rcc>
  <rcc rId="5251" sId="1">
    <oc r="E650">
      <f>E682+E659+#REF!+E651+E655</f>
    </oc>
    <nc r="E650">
      <f>E682+E659+E651+E655+E678</f>
    </nc>
  </rcc>
  <rcc rId="5252" sId="1">
    <oc r="F650">
      <f>F682+F659+#REF!+F651+F655</f>
    </oc>
    <nc r="F650">
      <f>F682+F659+F651+F655+F678</f>
    </nc>
  </rcc>
  <rrc rId="5253" sId="1" ref="A776:XFD776" action="deleteRow">
    <undo index="7" exp="ref" v="1" dr="F776" r="F746" sId="1"/>
    <undo index="7" exp="ref" v="1" dr="E776" r="E746" sId="1"/>
    <undo index="7" exp="ref" v="1" dr="D776" r="D746" sId="1"/>
    <undo index="32" exp="area" ref3D="1" dr="$A$886:$XFD$888" dn="Z_D9B90A86_BE39_4FED_8226_084809D277F3_.wvu.Rows" sId="1"/>
    <undo index="30" exp="area" ref3D="1" dr="$A$826:$XFD$829" dn="Z_D9B90A86_BE39_4FED_8226_084809D277F3_.wvu.Rows" sId="1"/>
    <undo index="28" exp="area" ref3D="1" dr="$A$792:$XFD$797" dn="Z_D9B90A86_BE39_4FED_8226_084809D277F3_.wvu.Rows" sId="1"/>
    <undo index="26" exp="area" ref3D="1" dr="$A$776:$XFD$779" dn="Z_D9B90A86_BE39_4FED_8226_084809D277F3_.wvu.Rows" sId="1"/>
    <rfmt sheetId="1" xfDxf="1" sqref="A776:XFD77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776" t="inlineStr">
        <is>
          <t>Затраты на проведение повторных обследований всех ранее выданных технических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      </is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justify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776" t="inlineStr">
        <is>
          <t>59 0 00 83661</t>
        </is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776" start="0" length="0">
      <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776">
        <f>D777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776">
        <f>E777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776">
        <f>F777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6" start="0" length="0">
      <dxf>
        <fill>
          <patternFill patternType="solid">
            <bgColor theme="0"/>
          </patternFill>
        </fill>
      </dxf>
    </rfmt>
    <rfmt sheetId="1" sqref="H776" start="0" length="0">
      <dxf>
        <fill>
          <patternFill patternType="solid">
            <bgColor theme="0"/>
          </patternFill>
        </fill>
      </dxf>
    </rfmt>
    <rfmt sheetId="1" sqref="I776" start="0" length="0">
      <dxf>
        <fill>
          <patternFill patternType="solid">
            <bgColor theme="0"/>
          </patternFill>
        </fill>
      </dxf>
    </rfmt>
  </rrc>
  <rrc rId="5254" sId="1" ref="A776:XFD776" action="deleteRow">
    <undo index="32" exp="area" ref3D="1" dr="$A$885:$XFD$887" dn="Z_D9B90A86_BE39_4FED_8226_084809D277F3_.wvu.Rows" sId="1"/>
    <undo index="30" exp="area" ref3D="1" dr="$A$825:$XFD$828" dn="Z_D9B90A86_BE39_4FED_8226_084809D277F3_.wvu.Rows" sId="1"/>
    <undo index="28" exp="area" ref3D="1" dr="$A$791:$XFD$796" dn="Z_D9B90A86_BE39_4FED_8226_084809D277F3_.wvu.Rows" sId="1"/>
    <undo index="26" exp="area" ref3D="1" dr="$A$776:$XFD$778" dn="Z_D9B90A86_BE39_4FED_8226_084809D277F3_.wvu.Rows" sId="1"/>
    <rfmt sheetId="1" xfDxf="1" sqref="A776:XFD77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776" t="inlineStr">
        <is>
          <t>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776" t="inlineStr">
        <is>
          <t>59 0 00 83661</t>
        </is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776">
        <v>200</v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776">
        <f>D777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776">
        <f>E777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776">
        <f>F777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6" start="0" length="0">
      <dxf>
        <fill>
          <patternFill patternType="solid">
            <bgColor theme="0"/>
          </patternFill>
        </fill>
      </dxf>
    </rfmt>
    <rfmt sheetId="1" sqref="H776" start="0" length="0">
      <dxf>
        <fill>
          <patternFill patternType="solid">
            <bgColor theme="0"/>
          </patternFill>
        </fill>
      </dxf>
    </rfmt>
    <rfmt sheetId="1" sqref="I776" start="0" length="0">
      <dxf>
        <fill>
          <patternFill patternType="solid">
            <bgColor theme="0"/>
          </patternFill>
        </fill>
      </dxf>
    </rfmt>
  </rrc>
  <rrc rId="5255" sId="1" ref="A776:XFD776" action="deleteRow">
    <undo index="32" exp="area" ref3D="1" dr="$A$884:$XFD$886" dn="Z_D9B90A86_BE39_4FED_8226_084809D277F3_.wvu.Rows" sId="1"/>
    <undo index="30" exp="area" ref3D="1" dr="$A$824:$XFD$827" dn="Z_D9B90A86_BE39_4FED_8226_084809D277F3_.wvu.Rows" sId="1"/>
    <undo index="28" exp="area" ref3D="1" dr="$A$790:$XFD$795" dn="Z_D9B90A86_BE39_4FED_8226_084809D277F3_.wvu.Rows" sId="1"/>
    <undo index="26" exp="area" ref3D="1" dr="$A$776:$XFD$777" dn="Z_D9B90A86_BE39_4FED_8226_084809D277F3_.wvu.Rows" sId="1"/>
    <rfmt sheetId="1" xfDxf="1" sqref="A776:XFD77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776" t="inlineStr">
        <is>
          <t>Иные закупки товаров,работ и услуг для обеспечения государственных (муниципальных) нужд</t>
        </is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776" t="inlineStr">
        <is>
          <t>59 0 00 83661</t>
        </is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776">
        <v>240</v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776">
        <f>D777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776">
        <f>E777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776">
        <f>F777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6" start="0" length="0">
      <dxf>
        <fill>
          <patternFill patternType="solid">
            <bgColor theme="0"/>
          </patternFill>
        </fill>
      </dxf>
    </rfmt>
    <rfmt sheetId="1" sqref="H776" start="0" length="0">
      <dxf>
        <fill>
          <patternFill patternType="solid">
            <bgColor theme="0"/>
          </patternFill>
        </fill>
      </dxf>
    </rfmt>
    <rfmt sheetId="1" sqref="I776" start="0" length="0">
      <dxf>
        <fill>
          <patternFill patternType="solid">
            <bgColor theme="0"/>
          </patternFill>
        </fill>
      </dxf>
    </rfmt>
  </rrc>
  <rrc rId="5256" sId="1" ref="A776:XFD776" action="deleteRow">
    <undo index="32" exp="area" ref3D="1" dr="$A$883:$XFD$885" dn="Z_D9B90A86_BE39_4FED_8226_084809D277F3_.wvu.Rows" sId="1"/>
    <undo index="30" exp="area" ref3D="1" dr="$A$823:$XFD$826" dn="Z_D9B90A86_BE39_4FED_8226_084809D277F3_.wvu.Rows" sId="1"/>
    <undo index="28" exp="area" ref3D="1" dr="$A$789:$XFD$794" dn="Z_D9B90A86_BE39_4FED_8226_084809D277F3_.wvu.Rows" sId="1"/>
    <undo index="26" exp="area" ref3D="1" dr="$A$776:$XFD$776" dn="Z_D9B90A86_BE39_4FED_8226_084809D277F3_.wvu.Rows" sId="1"/>
    <rfmt sheetId="1" xfDxf="1" sqref="A776:XFD776" start="0" length="0">
      <dxf>
        <font>
          <i/>
          <name val="Times New Roman"/>
          <scheme val="none"/>
        </font>
        <alignment vertical="center" readingOrder="0"/>
      </dxf>
    </rfmt>
    <rcc rId="0" sId="1" dxf="1">
      <nc r="A776" t="inlineStr">
        <is>
          <t>Прочая закупка товаров, работ и услуг</t>
        </is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776" t="inlineStr">
        <is>
          <t>59 0 00 83661</t>
        </is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776">
        <v>244</v>
      </nc>
      <ndxf>
        <font>
          <i val="0"/>
          <name val="Times New Roman"/>
          <scheme val="none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776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776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776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6" start="0" length="0">
      <dxf>
        <fill>
          <patternFill patternType="solid">
            <bgColor theme="0"/>
          </patternFill>
        </fill>
      </dxf>
    </rfmt>
    <rfmt sheetId="1" sqref="H776" start="0" length="0">
      <dxf>
        <fill>
          <patternFill patternType="solid">
            <bgColor theme="0"/>
          </patternFill>
        </fill>
      </dxf>
    </rfmt>
    <rfmt sheetId="1" sqref="I776" start="0" length="0">
      <dxf>
        <fill>
          <patternFill patternType="solid">
            <bgColor theme="0"/>
          </patternFill>
        </fill>
      </dxf>
    </rfmt>
  </rrc>
  <rrc rId="5257" sId="1" ref="A788:XFD788" action="deleteRow">
    <undo index="9" exp="ref" v="1" dr="D788" r="D784" sId="1"/>
    <undo index="32" exp="area" ref3D="1" dr="$A$882:$XFD$884" dn="Z_D9B90A86_BE39_4FED_8226_084809D277F3_.wvu.Rows" sId="1"/>
    <undo index="30" exp="area" ref3D="1" dr="$A$822:$XFD$825" dn="Z_D9B90A86_BE39_4FED_8226_084809D277F3_.wvu.Rows" sId="1"/>
    <undo index="28" exp="area" ref3D="1" dr="$A$788:$XFD$793" dn="Z_D9B90A86_BE39_4FED_8226_084809D277F3_.wvu.Rows" sId="1"/>
    <rfmt sheetId="1" xfDxf="1" sqref="A788:XFD788" start="0" length="0">
      <dxf>
        <font>
          <name val="Times New Roman"/>
          <scheme val="none"/>
        </font>
      </dxf>
    </rfmt>
    <rcc rId="0" sId="1" dxf="1">
      <nc r="A788" t="inlineStr">
        <is>
          <t>Капитальные вложения в объекты государственной (муниципальной) собственности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8" t="inlineStr">
        <is>
          <t>59 0 00 83691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788">
        <v>400</v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788">
        <f>D789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788">
        <f>E789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788">
        <f>F789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88" start="0" length="0">
      <dxf>
        <fill>
          <patternFill patternType="solid">
            <bgColor theme="0"/>
          </patternFill>
        </fill>
      </dxf>
    </rfmt>
    <rfmt sheetId="1" sqref="H788" start="0" length="0">
      <dxf>
        <fill>
          <patternFill patternType="solid">
            <bgColor theme="0"/>
          </patternFill>
        </fill>
      </dxf>
    </rfmt>
    <rfmt sheetId="1" sqref="I788" start="0" length="0">
      <dxf>
        <fill>
          <patternFill patternType="solid">
            <bgColor theme="0"/>
          </patternFill>
        </fill>
      </dxf>
    </rfmt>
  </rrc>
  <rrc rId="5258" sId="1" ref="A788:XFD788" action="deleteRow">
    <undo index="32" exp="area" ref3D="1" dr="$A$881:$XFD$883" dn="Z_D9B90A86_BE39_4FED_8226_084809D277F3_.wvu.Rows" sId="1"/>
    <undo index="30" exp="area" ref3D="1" dr="$A$821:$XFD$824" dn="Z_D9B90A86_BE39_4FED_8226_084809D277F3_.wvu.Rows" sId="1"/>
    <undo index="28" exp="area" ref3D="1" dr="$A$788:$XFD$792" dn="Z_D9B90A86_BE39_4FED_8226_084809D277F3_.wvu.Rows" sId="1"/>
    <rfmt sheetId="1" xfDxf="1" sqref="A788:XFD788" start="0" length="0">
      <dxf>
        <font>
          <name val="Times New Roman"/>
          <scheme val="none"/>
        </font>
      </dxf>
    </rfmt>
    <rcc rId="0" sId="1" dxf="1">
      <nc r="A788" t="inlineStr">
        <is>
          <t>Бюджетные инвестиции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8" t="inlineStr">
        <is>
          <t>59 0 00 83691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788">
        <v>410</v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788">
        <f>D789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788">
        <f>E789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788">
        <f>F789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88" start="0" length="0">
      <dxf>
        <fill>
          <patternFill patternType="solid">
            <bgColor theme="0"/>
          </patternFill>
        </fill>
      </dxf>
    </rfmt>
    <rfmt sheetId="1" sqref="H788" start="0" length="0">
      <dxf>
        <fill>
          <patternFill patternType="solid">
            <bgColor theme="0"/>
          </patternFill>
        </fill>
      </dxf>
    </rfmt>
    <rfmt sheetId="1" sqref="I788" start="0" length="0">
      <dxf>
        <fill>
          <patternFill patternType="solid">
            <bgColor theme="0"/>
          </patternFill>
        </fill>
      </dxf>
    </rfmt>
  </rrc>
  <rrc rId="5259" sId="1" ref="A788:XFD788" action="deleteRow">
    <undo index="32" exp="area" ref3D="1" dr="$A$880:$XFD$882" dn="Z_D9B90A86_BE39_4FED_8226_084809D277F3_.wvu.Rows" sId="1"/>
    <undo index="30" exp="area" ref3D="1" dr="$A$820:$XFD$823" dn="Z_D9B90A86_BE39_4FED_8226_084809D277F3_.wvu.Rows" sId="1"/>
    <undo index="28" exp="area" ref3D="1" dr="$A$788:$XFD$791" dn="Z_D9B90A86_BE39_4FED_8226_084809D277F3_.wvu.Rows" sId="1"/>
    <rfmt sheetId="1" xfDxf="1" sqref="A788:XFD788" start="0" length="0">
      <dxf>
        <font>
          <name val="Times New Roman"/>
          <scheme val="none"/>
        </font>
      </dxf>
    </rfmt>
    <rcc rId="0" sId="1" dxf="1">
      <nc r="A788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788" t="inlineStr">
        <is>
          <t>59 0 00 83691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788">
        <v>414</v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78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78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78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88" start="0" length="0">
      <dxf>
        <fill>
          <patternFill patternType="solid">
            <bgColor theme="0"/>
          </patternFill>
        </fill>
      </dxf>
    </rfmt>
    <rfmt sheetId="1" sqref="H788" start="0" length="0">
      <dxf>
        <fill>
          <patternFill patternType="solid">
            <bgColor theme="0"/>
          </patternFill>
        </fill>
      </dxf>
    </rfmt>
    <rfmt sheetId="1" sqref="I788" start="0" length="0">
      <dxf>
        <fill>
          <patternFill patternType="solid">
            <bgColor theme="0"/>
          </patternFill>
        </fill>
      </dxf>
    </rfmt>
  </rrc>
  <rrc rId="5260" sId="1" ref="A788:XFD788" action="deleteRow">
    <undo index="32" exp="area" ref3D="1" dr="$A$879:$XFD$881" dn="Z_D9B90A86_BE39_4FED_8226_084809D277F3_.wvu.Rows" sId="1"/>
    <undo index="30" exp="area" ref3D="1" dr="$A$819:$XFD$822" dn="Z_D9B90A86_BE39_4FED_8226_084809D277F3_.wvu.Rows" sId="1"/>
    <undo index="28" exp="area" ref3D="1" dr="$A$788:$XFD$790" dn="Z_D9B90A86_BE39_4FED_8226_084809D277F3_.wvu.Rows" sId="1"/>
    <rfmt sheetId="1" xfDxf="1" sqref="A788:XFD788" start="0" length="0">
      <dxf>
        <font>
          <name val="Times New Roman"/>
          <scheme val="none"/>
        </font>
      </dxf>
    </rfmt>
    <rcc rId="0" sId="1" dxf="1">
      <nc r="A788" t="inlineStr">
        <is>
          <t xml:space="preserve">Иные бюджетные ассигнования 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8" t="inlineStr">
        <is>
          <t>59 0 00 83691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788" t="inlineStr">
        <is>
          <t>800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788">
        <f>D789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788">
        <f>E789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788">
        <f>F789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88" start="0" length="0">
      <dxf>
        <fill>
          <patternFill patternType="solid">
            <bgColor theme="0"/>
          </patternFill>
        </fill>
      </dxf>
    </rfmt>
    <rfmt sheetId="1" sqref="H788" start="0" length="0">
      <dxf>
        <fill>
          <patternFill patternType="solid">
            <bgColor theme="0"/>
          </patternFill>
        </fill>
      </dxf>
    </rfmt>
    <rfmt sheetId="1" sqref="I788" start="0" length="0">
      <dxf>
        <fill>
          <patternFill patternType="solid">
            <bgColor theme="0"/>
          </patternFill>
        </fill>
      </dxf>
    </rfmt>
  </rrc>
  <rrc rId="5261" sId="1" ref="A788:XFD788" action="deleteRow">
    <undo index="0" exp="ref" v="1" dr="F788" r="F784" sId="1"/>
    <undo index="0" exp="ref" v="1" dr="E788" r="E784" sId="1"/>
    <undo index="0" exp="ref" v="1" dr="D788" r="D784" sId="1"/>
    <undo index="32" exp="area" ref3D="1" dr="$A$878:$XFD$880" dn="Z_D9B90A86_BE39_4FED_8226_084809D277F3_.wvu.Rows" sId="1"/>
    <undo index="30" exp="area" ref3D="1" dr="$A$818:$XFD$821" dn="Z_D9B90A86_BE39_4FED_8226_084809D277F3_.wvu.Rows" sId="1"/>
    <undo index="28" exp="area" ref3D="1" dr="$A$788:$XFD$789" dn="Z_D9B90A86_BE39_4FED_8226_084809D277F3_.wvu.Rows" sId="1"/>
    <rfmt sheetId="1" xfDxf="1" sqref="A788:XFD788" start="0" length="0">
      <dxf>
        <font>
          <name val="Times New Roman"/>
          <scheme val="none"/>
        </font>
      </dxf>
    </rfmt>
    <rcc rId="0" sId="1" dxf="1">
      <nc r="A788" t="inlineStr">
        <is>
  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8" t="inlineStr">
        <is>
          <t>59 0 00 83691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788" t="inlineStr">
        <is>
          <t>810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788">
        <f>D789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788">
        <f>E789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788">
        <f>F789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88" start="0" length="0">
      <dxf>
        <fill>
          <patternFill patternType="solid">
            <bgColor theme="0"/>
          </patternFill>
        </fill>
      </dxf>
    </rfmt>
    <rfmt sheetId="1" sqref="H788" start="0" length="0">
      <dxf>
        <fill>
          <patternFill patternType="solid">
            <bgColor theme="0"/>
          </patternFill>
        </fill>
      </dxf>
    </rfmt>
    <rfmt sheetId="1" sqref="I788" start="0" length="0">
      <dxf>
        <fill>
          <patternFill patternType="solid">
            <bgColor theme="0"/>
          </patternFill>
        </fill>
      </dxf>
    </rfmt>
  </rrc>
  <rrc rId="5262" sId="1" ref="A788:XFD788" action="deleteRow">
    <undo index="32" exp="area" ref3D="1" dr="$A$877:$XFD$879" dn="Z_D9B90A86_BE39_4FED_8226_084809D277F3_.wvu.Rows" sId="1"/>
    <undo index="30" exp="area" ref3D="1" dr="$A$817:$XFD$820" dn="Z_D9B90A86_BE39_4FED_8226_084809D277F3_.wvu.Rows" sId="1"/>
    <undo index="28" exp="area" ref3D="1" dr="$A$788:$XFD$788" dn="Z_D9B90A86_BE39_4FED_8226_084809D277F3_.wvu.Rows" sId="1"/>
    <rfmt sheetId="1" xfDxf="1" sqref="A788:XFD788" start="0" length="0">
      <dxf>
        <font>
          <name val="Times New Roman"/>
          <scheme val="none"/>
        </font>
      </dxf>
    </rfmt>
    <rcc rId="0" sId="1" dxf="1">
      <nc r="A788" t="inlineStr">
        <is>
  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788" t="inlineStr">
        <is>
          <t>59 0 00 83691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788" t="inlineStr">
        <is>
          <t>811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78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78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78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88" start="0" length="0">
      <dxf>
        <fill>
          <patternFill patternType="solid">
            <bgColor theme="0"/>
          </patternFill>
        </fill>
      </dxf>
    </rfmt>
    <rfmt sheetId="1" sqref="H788" start="0" length="0">
      <dxf>
        <fill>
          <patternFill patternType="solid">
            <bgColor theme="0"/>
          </patternFill>
        </fill>
      </dxf>
    </rfmt>
    <rfmt sheetId="1" sqref="I788" start="0" length="0">
      <dxf>
        <fill>
          <patternFill patternType="solid">
            <bgColor theme="0"/>
          </patternFill>
        </fill>
      </dxf>
    </rfmt>
  </rrc>
  <rcc rId="5263" sId="1">
    <oc r="D784">
      <f>#REF!+D785+D788+D792+D796+#REF!</f>
    </oc>
    <nc r="D784">
      <f>D785+D788+D792+D796</f>
    </nc>
  </rcc>
  <rcc rId="5264" sId="1">
    <oc r="E784">
      <f>#REF!+E785+E788+E792+E796</f>
    </oc>
    <nc r="E784">
      <f>E785+E788+E792+E796</f>
    </nc>
  </rcc>
  <rcc rId="5265" sId="1">
    <oc r="F784">
      <f>#REF!+F785+F788+F792+F796</f>
    </oc>
    <nc r="F784">
      <f>F785+F788+F792+F796</f>
    </nc>
  </rcc>
  <rcc rId="5266" sId="1">
    <oc r="D746">
      <f>D747+D755+D759+D784+#REF!+D776+D780</f>
    </oc>
    <nc r="D746">
      <f>D747+D755+D759+D784+D776+D780</f>
    </nc>
  </rcc>
  <rcc rId="5267" sId="1">
    <oc r="E746">
      <f>E747+E755+E759+E784+#REF!+E776+E780</f>
    </oc>
    <nc r="E746">
      <f>E747+E755+E759+E784+E776+E780</f>
    </nc>
  </rcc>
  <rcc rId="5268" sId="1">
    <oc r="F746">
      <f>F747+F755+F759+F784+#REF!+F776+F780</f>
    </oc>
    <nc r="F746">
      <f>F747+F755+F759+F784+F776+F780</f>
    </nc>
  </rcc>
  <rrc rId="5269" sId="1" ref="A816:XFD816" action="deleteRow">
    <undo index="0" exp="ref" v="1" dr="F816" r="F815" sId="1"/>
    <undo index="0" exp="ref" v="1" dr="E816" r="E815" sId="1"/>
    <undo index="0" exp="ref" v="1" dr="D816" r="D815" sId="1"/>
    <undo index="32" exp="area" ref3D="1" dr="$A$876:$XFD$878" dn="Z_D9B90A86_BE39_4FED_8226_084809D277F3_.wvu.Rows" sId="1"/>
    <undo index="30" exp="area" ref3D="1" dr="$A$816:$XFD$819" dn="Z_D9B90A86_BE39_4FED_8226_084809D277F3_.wvu.Rows" sId="1"/>
    <rfmt sheetId="1" xfDxf="1" sqref="A816:XFD816" start="0" length="0">
      <dxf>
        <font>
          <name val="Times New Roman"/>
          <scheme val="none"/>
        </font>
      </dxf>
    </rfmt>
    <rcc rId="0" sId="1" dxf="1">
      <nc r="A816" t="inlineStr">
        <is>
  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816" t="inlineStr">
        <is>
          <t>61 1 00 R0820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816" start="0" length="0">
      <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816">
        <f>D817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816">
        <f>E817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816">
        <f>F817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816" start="0" length="0">
      <dxf>
        <fill>
          <patternFill patternType="solid">
            <bgColor theme="0"/>
          </patternFill>
        </fill>
      </dxf>
    </rfmt>
    <rfmt sheetId="1" sqref="H816" start="0" length="0">
      <dxf>
        <fill>
          <patternFill patternType="solid">
            <bgColor theme="0"/>
          </patternFill>
        </fill>
      </dxf>
    </rfmt>
    <rfmt sheetId="1" sqref="I816" start="0" length="0">
      <dxf>
        <fill>
          <patternFill patternType="solid">
            <bgColor theme="0"/>
          </patternFill>
        </fill>
      </dxf>
    </rfmt>
  </rrc>
  <rrc rId="5270" sId="1" ref="A816:XFD816" action="deleteRow">
    <undo index="32" exp="area" ref3D="1" dr="$A$875:$XFD$877" dn="Z_D9B90A86_BE39_4FED_8226_084809D277F3_.wvu.Rows" sId="1"/>
    <undo index="30" exp="area" ref3D="1" dr="$A$816:$XFD$818" dn="Z_D9B90A86_BE39_4FED_8226_084809D277F3_.wvu.Rows" sId="1"/>
    <rfmt sheetId="1" xfDxf="1" sqref="A816:XFD816" start="0" length="0">
      <dxf>
        <font>
          <name val="Times New Roman"/>
          <scheme val="none"/>
        </font>
      </dxf>
    </rfmt>
    <rcc rId="0" sId="1" dxf="1">
      <nc r="A816" t="inlineStr">
        <is>
          <t>Капитальные вложения в объекты государственной (муниципальной) собственности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816" t="inlineStr">
        <is>
          <t>61 1 00 R0820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816" t="inlineStr">
        <is>
          <t>400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816">
        <f>D818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816">
        <f>E818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816">
        <f>F818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816" start="0" length="0">
      <dxf>
        <fill>
          <patternFill patternType="solid">
            <bgColor theme="0"/>
          </patternFill>
        </fill>
      </dxf>
    </rfmt>
    <rfmt sheetId="1" sqref="H816" start="0" length="0">
      <dxf>
        <fill>
          <patternFill patternType="solid">
            <bgColor theme="0"/>
          </patternFill>
        </fill>
      </dxf>
    </rfmt>
    <rfmt sheetId="1" sqref="I816" start="0" length="0">
      <dxf>
        <fill>
          <patternFill patternType="solid">
            <bgColor theme="0"/>
          </patternFill>
        </fill>
      </dxf>
    </rfmt>
  </rrc>
  <rrc rId="5271" sId="1" ref="A816:XFD816" action="deleteRow">
    <undo index="32" exp="area" ref3D="1" dr="$A$874:$XFD$876" dn="Z_D9B90A86_BE39_4FED_8226_084809D277F3_.wvu.Rows" sId="1"/>
    <undo index="30" exp="area" ref3D="1" dr="$A$816:$XFD$817" dn="Z_D9B90A86_BE39_4FED_8226_084809D277F3_.wvu.Rows" sId="1"/>
    <rfmt sheetId="1" xfDxf="1" sqref="A816:XFD816" start="0" length="0">
      <dxf>
        <font>
          <name val="Times New Roman"/>
          <scheme val="none"/>
        </font>
      </dxf>
    </rfmt>
    <rcc rId="0" sId="1" dxf="1">
      <nc r="A816" t="inlineStr">
        <is>
          <t>Бюджетные инвестиции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816" t="inlineStr">
        <is>
          <t>61 1 00 R0820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816" t="inlineStr">
        <is>
          <t>410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816">
        <f>D817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E816">
        <f>E817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1" s="1" dxf="1">
      <nc r="F816">
        <f>F817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1" sqref="G816" start="0" length="0">
      <dxf>
        <fill>
          <patternFill patternType="solid">
            <bgColor theme="0"/>
          </patternFill>
        </fill>
      </dxf>
    </rfmt>
    <rfmt sheetId="1" sqref="H816" start="0" length="0">
      <dxf>
        <fill>
          <patternFill patternType="solid">
            <bgColor theme="0"/>
          </patternFill>
        </fill>
      </dxf>
    </rfmt>
    <rfmt sheetId="1" sqref="I816" start="0" length="0">
      <dxf>
        <fill>
          <patternFill patternType="solid">
            <bgColor theme="0"/>
          </patternFill>
        </fill>
      </dxf>
    </rfmt>
  </rrc>
  <rrc rId="5272" sId="1" ref="A816:XFD816" action="deleteRow">
    <undo index="32" exp="area" ref3D="1" dr="$A$873:$XFD$875" dn="Z_D9B90A86_BE39_4FED_8226_084809D277F3_.wvu.Rows" sId="1"/>
    <undo index="30" exp="area" ref3D="1" dr="$A$816:$XFD$816" dn="Z_D9B90A86_BE39_4FED_8226_084809D277F3_.wvu.Rows" sId="1"/>
    <rfmt sheetId="1" xfDxf="1" sqref="A816:XFD816" start="0" length="0">
      <dxf>
        <font>
          <name val="Times New Roman"/>
          <scheme val="none"/>
        </font>
      </dxf>
    </rfmt>
    <rcc rId="0" sId="1" dxf="1">
      <nc r="A816" t="inlineStr">
        <is>
          <t>Бюджетные инвестиции на приобретение объектов недвижимого имущества в государственную (муниципальную) собственность</t>
        </is>
      </nc>
      <ndxf>
        <fill>
          <patternFill patternType="solid">
            <bgColor theme="0"/>
          </patternFill>
        </fill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816" t="inlineStr">
        <is>
          <t>61 1 00 R0820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816" t="inlineStr">
        <is>
          <t>412</t>
        </is>
      </nc>
      <ndxf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816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="1" sqref="E816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="1" sqref="F816" start="0" length="0">
      <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G816" start="0" length="0">
      <dxf>
        <fill>
          <patternFill patternType="solid">
            <bgColor theme="0"/>
          </patternFill>
        </fill>
      </dxf>
    </rfmt>
    <rfmt sheetId="1" sqref="H816" start="0" length="0">
      <dxf>
        <fill>
          <patternFill patternType="solid">
            <bgColor theme="0"/>
          </patternFill>
        </fill>
      </dxf>
    </rfmt>
    <rfmt sheetId="1" sqref="I816" start="0" length="0">
      <dxf>
        <fill>
          <patternFill patternType="solid">
            <bgColor theme="0"/>
          </patternFill>
        </fill>
      </dxf>
    </rfmt>
  </rrc>
  <rcc rId="5273" sId="1">
    <oc r="D815">
      <f>#REF!+D820+D824+D816</f>
    </oc>
    <nc r="D815">
      <f>D820+D824+D816</f>
    </nc>
  </rcc>
  <rcc rId="5274" sId="1">
    <oc r="E814">
      <f>E815+E828+E833</f>
    </oc>
    <nc r="E814">
      <f>E815+E828+E833</f>
    </nc>
  </rcc>
  <rcc rId="5275" sId="1">
    <oc r="F814">
      <f>F815+F828+F833</f>
    </oc>
    <nc r="F814">
      <f>F815+F828+F833</f>
    </nc>
  </rcc>
  <rcc rId="5276" sId="1">
    <oc r="E815">
      <f>#REF!+E820+E824+E816</f>
    </oc>
    <nc r="E815">
      <f>E820+E824+E816</f>
    </nc>
  </rcc>
  <rcc rId="5277" sId="1">
    <oc r="F815">
      <f>#REF!+F820+F824+F816</f>
    </oc>
    <nc r="F815">
      <f>F820+F824+F816</f>
    </nc>
  </rcc>
  <rdn rId="0" localSheetId="1" customView="1" name="Z_D9B90A86_BE39_4FED_8226_084809D277F3_.wvu.Rows" hidden="1" oldHidden="1">
    <oldFormula>'программы '!$28:$31,'программы '!#REF!,'программы '!#REF!,'программы '!#REF!,'программы '!#REF!,'программы '!#REF!,'программы '!#REF!,'программы '!#REF!,'программы '!#REF!,'программы '!#REF!,'программы '!#REF!,'программы '!#REF!,'программы '!#REF!,'программы '!#REF!,'программы '!#REF!,'программы '!#REF!,'программы '!$872:$874</oldFormula>
  </rdn>
  <rcv guid="{D9B90A86-BE39-4FED-8226-084809D277F3}" action="delete"/>
  <rdn rId="0" localSheetId="1" customView="1" name="Z_D9B90A86_BE39_4FED_8226_084809D277F3_.wvu.PrintArea" hidden="1" oldHidden="1">
    <formula>'программы '!$A$1:$F$920</formula>
    <oldFormula>'программы '!$A$1:$F$920</oldFormula>
  </rdn>
  <rdn rId="0" localSheetId="1" customView="1" name="Z_D9B90A86_BE39_4FED_8226_084809D277F3_.wvu.FilterData" hidden="1" oldHidden="1">
    <formula>'программы '!$B$1:$B$928</formula>
    <oldFormula>'программы '!$C$1:$C$928</oldFormula>
  </rdn>
  <rcv guid="{D9B90A86-BE39-4FED-8226-084809D277F3}" action="add"/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81" sId="1" ref="A872:XFD872" action="deleteRow">
    <undo index="5" exp="ref" v="1" dr="F872" r="F862" sId="1"/>
    <undo index="5" exp="ref" v="1" dr="E872" r="E862" sId="1"/>
    <undo index="5" exp="ref" v="1" dr="D872" r="D862" sId="1"/>
    <rfmt sheetId="1" xfDxf="1" sqref="A872:XFD872" start="0" length="0">
      <dxf>
        <font>
          <i/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872" t="inlineStr">
        <is>
          <t>Оказание содействия в подготовке и проведении выборов Президента Российской Федерации и информирования избирателей</t>
        </is>
      </nc>
      <ndxf>
        <font>
          <i val="0"/>
          <name val="Times New Roman"/>
          <scheme val="none"/>
        </font>
        <fill>
          <patternFill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72" t="inlineStr">
        <is>
          <t>64 0 00 81170</t>
        </is>
      </nc>
      <ndxf>
        <font>
          <i val="0"/>
          <name val="Times New Roman"/>
          <scheme val="none"/>
        </font>
        <numFmt numFmtId="30" formatCode="@"/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72" start="0" length="0">
      <dxf>
        <font>
          <i val="0"/>
          <name val="Times New Roman"/>
          <scheme val="none"/>
        </font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872">
        <f>D873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872">
        <f>E873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872">
        <f>F873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72" start="0" length="0">
      <dxf>
        <fill>
          <patternFill>
            <bgColor theme="0"/>
          </patternFill>
        </fill>
      </dxf>
    </rfmt>
    <rfmt sheetId="1" sqref="H872" start="0" length="0">
      <dxf>
        <fill>
          <patternFill>
            <bgColor theme="0"/>
          </patternFill>
        </fill>
      </dxf>
    </rfmt>
    <rfmt sheetId="1" sqref="I872" start="0" length="0">
      <dxf>
        <fill>
          <patternFill>
            <bgColor theme="0"/>
          </patternFill>
        </fill>
      </dxf>
    </rfmt>
  </rrc>
  <rrc rId="5282" sId="1" ref="A872:XFD872" action="deleteRow">
    <rfmt sheetId="1" xfDxf="1" sqref="A872:XFD872" start="0" length="0">
      <dxf>
        <font>
          <i/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872" t="inlineStr">
        <is>
          <t xml:space="preserve">Иные бюджетные ассигнования </t>
        </is>
      </nc>
      <ndxf>
        <font>
          <i val="0"/>
          <name val="Times New Roman"/>
          <scheme val="none"/>
        </font>
        <fill>
          <patternFill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72" t="inlineStr">
        <is>
          <t>64 0 00 81170</t>
        </is>
      </nc>
      <ndxf>
        <font>
          <i val="0"/>
          <name val="Times New Roman"/>
          <scheme val="none"/>
        </font>
        <numFmt numFmtId="30" formatCode="@"/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72" t="inlineStr">
        <is>
          <t>800</t>
        </is>
      </nc>
      <ndxf>
        <font>
          <i val="0"/>
          <name val="Times New Roman"/>
          <scheme val="none"/>
        </font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>
      <nc r="D872">
        <f>D873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872">
        <f>E873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872">
        <f>F873</f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72" start="0" length="0">
      <dxf>
        <fill>
          <patternFill>
            <bgColor theme="0"/>
          </patternFill>
        </fill>
      </dxf>
    </rfmt>
    <rfmt sheetId="1" sqref="H872" start="0" length="0">
      <dxf>
        <fill>
          <patternFill>
            <bgColor theme="0"/>
          </patternFill>
        </fill>
      </dxf>
    </rfmt>
    <rfmt sheetId="1" sqref="I872" start="0" length="0">
      <dxf>
        <fill>
          <patternFill>
            <bgColor theme="0"/>
          </patternFill>
        </fill>
      </dxf>
    </rfmt>
  </rrc>
  <rrc rId="5283" sId="1" ref="A872:XFD872" action="deleteRow">
    <rfmt sheetId="1" xfDxf="1" sqref="A872:XFD872" start="0" length="0">
      <dxf>
        <font>
          <i/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872" t="inlineStr">
        <is>
          <t>Специальные расходы</t>
        </is>
      </nc>
      <ndxf>
        <font>
          <i val="0"/>
          <name val="Times New Roman"/>
          <scheme val="none"/>
        </font>
        <fill>
          <patternFill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72" t="inlineStr">
        <is>
          <t>64 0 00 81170</t>
        </is>
      </nc>
      <ndxf>
        <font>
          <i val="0"/>
          <name val="Times New Roman"/>
          <scheme val="none"/>
        </font>
        <numFmt numFmtId="30" formatCode="@"/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72" t="inlineStr">
        <is>
          <t>880</t>
        </is>
      </nc>
      <ndxf>
        <font>
          <i val="0"/>
          <name val="Times New Roman"/>
          <scheme val="none"/>
        </font>
        <fill>
          <patternFill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34">
      <nc r="D872">
        <v>0</v>
      </nc>
      <n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E872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72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>
            <bgColor theme="0"/>
          </patternFill>
        </fill>
        <border outline="0">
          <right style="thin">
            <color indexed="64"/>
          </right>
          <bottom style="thin">
            <color indexed="64"/>
          </bottom>
        </border>
      </dxf>
    </rfmt>
    <rfmt sheetId="1" sqref="G872" start="0" length="0">
      <dxf>
        <fill>
          <patternFill>
            <bgColor theme="0"/>
          </patternFill>
        </fill>
      </dxf>
    </rfmt>
    <rfmt sheetId="1" sqref="H872" start="0" length="0">
      <dxf>
        <fill>
          <patternFill>
            <bgColor theme="0"/>
          </patternFill>
        </fill>
      </dxf>
    </rfmt>
    <rfmt sheetId="1" sqref="I872" start="0" length="0">
      <dxf>
        <fill>
          <patternFill>
            <bgColor theme="0"/>
          </patternFill>
        </fill>
      </dxf>
    </rfmt>
  </rrc>
  <rcc rId="5284" sId="1">
    <oc r="D862">
      <f>D864+D866+D869+#REF!</f>
    </oc>
    <nc r="D862">
      <f>D864+D866+D869</f>
    </nc>
  </rcc>
  <rcc rId="5285" sId="1">
    <oc r="E862">
      <f>E864+E866+E869+#REF!</f>
    </oc>
    <nc r="E862">
      <f>E864+E866+E869</f>
    </nc>
  </rcc>
  <rcc rId="5286" sId="1">
    <oc r="F862">
      <f>F864+F866+F869+#REF!</f>
    </oc>
    <nc r="F862">
      <f>F864+F866+F869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87" sId="1">
    <oc r="F4" t="inlineStr">
      <is>
        <t xml:space="preserve">от                  сентября 2024 года №   </t>
      </is>
    </oc>
    <nc r="F4" t="inlineStr">
      <is>
        <t xml:space="preserve">от                  ноября 2024 года №   </t>
      </is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88" sId="1">
    <oc r="B15" t="inlineStr">
      <is>
        <t>Цлевая статья</t>
      </is>
    </oc>
    <nc r="B15" t="inlineStr">
      <is>
        <t>Целевая статья</t>
      </is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9B90A86-BE39-4FED-8226-084809D277F3}" action="delete"/>
  <rdn rId="0" localSheetId="1" customView="1" name="Z_D9B90A86_BE39_4FED_8226_084809D277F3_.wvu.PrintArea" hidden="1" oldHidden="1">
    <formula>'программы '!$A$1:$F$917</formula>
    <oldFormula>'программы '!$A$1:$F$917</oldFormula>
  </rdn>
  <rdn rId="0" localSheetId="1" customView="1" name="Z_D9B90A86_BE39_4FED_8226_084809D277F3_.wvu.FilterData" hidden="1" oldHidden="1">
    <formula>'программы '!$C$1:$C$925</formula>
    <oldFormula>'программы '!$B$1:$B$925</oldFormula>
  </rdn>
  <rcv guid="{D9B90A86-BE39-4FED-8226-084809D277F3}" action="add"/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91" sId="1" ref="A28:XFD28" action="deleteRow">
    <undo index="3" exp="ref" v="1" dr="F28" r="F23" sId="1"/>
    <undo index="3" exp="ref" v="1" dr="E28" r="E23" sId="1"/>
    <undo index="3" exp="ref" v="1" dr="D28" r="D23" sId="1"/>
    <undo index="0" exp="area" ref3D="1" dr="$A$298:$XFD$306" dn="Z_30E81E54_DD45_4653_9DCD_548F6723F554_.wvu.Rows" sId="1"/>
    <rfmt sheetId="1" xfDxf="1" sqref="A28:XFD28" start="0" length="0">
      <dxf>
        <font>
          <name val="Times New Roman"/>
          <scheme val="none"/>
        </font>
      </dxf>
    </rfmt>
    <rcc rId="0" sId="1" dxf="1">
      <nc r="A28" t="inlineStr">
        <is>
          <t>Ремонт автомобильных дорог общего пользования местного значения в муниципальных районах и городских округах Архангельской области (дорожный фонд Архангельской области)</t>
        </is>
      </nc>
      <ndxf>
        <fill>
          <patternFill patternType="solid">
            <bgColor theme="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8" t="inlineStr">
        <is>
          <t>02 0 00 S875Д</t>
        </is>
      </nc>
      <ndxf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bottom style="thin">
            <color indexed="64"/>
          </bottom>
        </border>
      </ndxf>
    </rcc>
    <rfmt sheetId="1" sqref="C28" start="0" length="0">
      <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s="1" dxf="1">
      <nc r="D28">
        <f>D30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">
        <f>E30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">
        <f>F30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" start="0" length="0">
      <dxf>
        <fill>
          <patternFill patternType="solid">
            <bgColor theme="0"/>
          </patternFill>
        </fill>
      </dxf>
    </rfmt>
    <rfmt sheetId="1" sqref="H28" start="0" length="0">
      <dxf>
        <fill>
          <patternFill patternType="solid">
            <bgColor theme="0"/>
          </patternFill>
        </fill>
      </dxf>
    </rfmt>
    <rfmt sheetId="1" sqref="I28" start="0" length="0">
      <dxf>
        <fill>
          <patternFill patternType="solid">
            <bgColor theme="0"/>
          </patternFill>
        </fill>
      </dxf>
    </rfmt>
  </rrc>
  <rrc rId="5292" sId="1" ref="A28:XFD28" action="deleteRow">
    <undo index="0" exp="area" ref3D="1" dr="$A$297:$XFD$305" dn="Z_30E81E54_DD45_4653_9DCD_548F6723F554_.wvu.Rows" sId="1"/>
    <rfmt sheetId="1" xfDxf="1" sqref="A28:XFD28" start="0" length="0">
      <dxf>
        <font>
          <name val="Times New Roman"/>
          <scheme val="none"/>
        </font>
      </dxf>
    </rfmt>
    <rcc rId="0" sId="1" dxf="1">
      <nc r="A28" t="inlineStr">
        <is>
          <t>Закупка товаров, 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8" t="inlineStr">
        <is>
          <t>02 0 00 S875Д</t>
        </is>
      </nc>
      <ndxf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bottom style="thin">
            <color indexed="64"/>
          </bottom>
        </border>
      </ndxf>
    </rcc>
    <rcc rId="0" sId="1" dxf="1">
      <nc r="C28" t="inlineStr">
        <is>
          <t>200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8">
        <f>D29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">
        <f>E29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">
        <f>F29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" start="0" length="0">
      <dxf>
        <fill>
          <patternFill patternType="solid">
            <bgColor theme="0"/>
          </patternFill>
        </fill>
      </dxf>
    </rfmt>
    <rfmt sheetId="1" sqref="H28" start="0" length="0">
      <dxf>
        <fill>
          <patternFill patternType="solid">
            <bgColor theme="0"/>
          </patternFill>
        </fill>
      </dxf>
    </rfmt>
    <rfmt sheetId="1" sqref="I28" start="0" length="0">
      <dxf>
        <fill>
          <patternFill patternType="solid">
            <bgColor theme="0"/>
          </patternFill>
        </fill>
      </dxf>
    </rfmt>
  </rrc>
  <rrc rId="5293" sId="1" ref="A28:XFD28" action="deleteRow">
    <undo index="0" exp="area" ref3D="1" dr="$A$296:$XFD$304" dn="Z_30E81E54_DD45_4653_9DCD_548F6723F554_.wvu.Rows" sId="1"/>
    <rfmt sheetId="1" xfDxf="1" sqref="A28:XFD28" start="0" length="0">
      <dxf>
        <font>
          <name val="Times New Roman"/>
          <scheme val="none"/>
        </font>
      </dxf>
    </rfmt>
    <rcc rId="0" sId="1" dxf="1">
      <nc r="A28" t="inlineStr">
        <is>
          <t>Иные закупки товаров,работ и услуг для обеспечения государственных (муниципальных) нужд</t>
        </is>
      </nc>
      <ndxf>
        <fill>
          <patternFill patternType="solid">
            <bgColor theme="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8" t="inlineStr">
        <is>
          <t>02 0 00 S875Д</t>
        </is>
      </nc>
      <ndxf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bottom style="thin">
            <color indexed="64"/>
          </bottom>
        </border>
      </ndxf>
    </rcc>
    <rcc rId="0" sId="1" dxf="1">
      <nc r="C28" t="inlineStr">
        <is>
          <t>240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8">
        <f>D29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28">
        <f>E29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28">
        <f>F29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" start="0" length="0">
      <dxf>
        <fill>
          <patternFill patternType="solid">
            <bgColor theme="0"/>
          </patternFill>
        </fill>
      </dxf>
    </rfmt>
    <rfmt sheetId="1" sqref="H28" start="0" length="0">
      <dxf>
        <fill>
          <patternFill patternType="solid">
            <bgColor theme="0"/>
          </patternFill>
        </fill>
      </dxf>
    </rfmt>
    <rfmt sheetId="1" sqref="I28" start="0" length="0">
      <dxf>
        <fill>
          <patternFill patternType="solid">
            <bgColor theme="0"/>
          </patternFill>
        </fill>
      </dxf>
    </rfmt>
  </rrc>
  <rrc rId="5294" sId="1" ref="A28:XFD28" action="deleteRow">
    <undo index="0" exp="area" ref3D="1" dr="$A$295:$XFD$303" dn="Z_30E81E54_DD45_4653_9DCD_548F6723F554_.wvu.Rows" sId="1"/>
    <rfmt sheetId="1" xfDxf="1" sqref="A28:XFD28" start="0" length="0">
      <dxf>
        <font>
          <name val="Times New Roman"/>
          <scheme val="none"/>
        </font>
      </dxf>
    </rfmt>
    <rcc rId="0" sId="1" dxf="1">
      <nc r="A28" t="inlineStr">
        <is>
          <t xml:space="preserve">Прочая закупка товаров, работ и услуг </t>
        </is>
      </nc>
      <ndxf>
        <fill>
          <patternFill patternType="solid">
            <bgColor theme="0"/>
          </patternFill>
        </fill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8" t="inlineStr">
        <is>
          <t>02 0 00 S875Д</t>
        </is>
      </nc>
      <ndxf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bottom style="thin">
            <color indexed="64"/>
          </bottom>
        </border>
      </ndxf>
    </rcc>
    <rcc rId="0" sId="1" dxf="1">
      <nc r="C28" t="inlineStr">
        <is>
          <t>244</t>
        </is>
      </nc>
      <ndxf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2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2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F28">
        <v>0</v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" start="0" length="0">
      <dxf>
        <fill>
          <patternFill patternType="solid">
            <bgColor theme="0"/>
          </patternFill>
        </fill>
      </dxf>
    </rfmt>
    <rfmt sheetId="1" sqref="H28" start="0" length="0">
      <dxf>
        <fill>
          <patternFill patternType="solid">
            <bgColor theme="0"/>
          </patternFill>
        </fill>
      </dxf>
    </rfmt>
    <rfmt sheetId="1" sqref="I28" start="0" length="0">
      <dxf>
        <fill>
          <patternFill patternType="solid">
            <bgColor theme="0"/>
          </patternFill>
        </fill>
      </dxf>
    </rfmt>
  </rrc>
  <rcc rId="5295" sId="1">
    <oc r="D23">
      <f>D28+D24+#REF!+D32</f>
    </oc>
    <nc r="D23">
      <f>D28+D24+D32</f>
    </nc>
  </rcc>
  <rcc rId="5296" sId="1">
    <oc r="E23">
      <f>E28+E24+#REF!+E32</f>
    </oc>
    <nc r="E23">
      <f>E28+E24+E32</f>
    </nc>
  </rcc>
  <rcc rId="5297" sId="1">
    <oc r="F23">
      <f>F28+F24+#REF!+F32</f>
    </oc>
    <nc r="F23">
      <f>F28+F24+F32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98" sId="1">
    <oc r="D255">
      <f>4772643.2+40062+226164.2+100000</f>
    </oc>
    <nc r="D255">
      <f>4772643.2+40062+226164.2+100000+200000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5" sId="1">
    <oc r="D602">
      <f>16008611.71-2100000</f>
    </oc>
    <nc r="D602">
      <f>16008611.71-2100000+3285769.73</f>
    </nc>
  </rcc>
  <rcv guid="{30E81E54-DD45-4653-9DCD-548F6723F554}" action="delete"/>
  <rdn rId="0" localSheetId="1" customView="1" name="Z_30E81E54_DD45_4653_9DCD_548F6723F554_.wvu.PrintArea" hidden="1" oldHidden="1">
    <formula>'программы '!$A$1:$F$748</formula>
    <oldFormula>'программы '!$A$1:$F$748</oldFormula>
  </rdn>
  <rdn rId="0" localSheetId="1" customView="1" name="Z_30E81E54_DD45_4653_9DCD_548F6723F554_.wvu.Rows" hidden="1" oldHidden="1">
    <formula>'программы '!$230:$234</formula>
    <oldFormula>'программы '!$230:$234</oldFormula>
  </rdn>
  <rdn rId="0" localSheetId="1" customView="1" name="Z_30E81E54_DD45_4653_9DCD_548F6723F554_.wvu.FilterData" hidden="1" oldHidden="1">
    <formula>'программы '!$A$1:$A$761</formula>
    <oldFormula>'программы '!$B$1:$B$756</oldFormula>
  </rdn>
  <rcv guid="{30E81E54-DD45-4653-9DCD-548F6723F554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53" sId="1">
    <oc r="B67" t="inlineStr">
      <is>
        <t>03 2 00 53030</t>
      </is>
    </oc>
    <nc r="B67" t="inlineStr">
      <is>
        <t>03 2 00 R3032</t>
      </is>
    </nc>
  </rcc>
  <rcc rId="2854" sId="1">
    <oc r="B68" t="inlineStr">
      <is>
        <t>03 2 00 53030</t>
      </is>
    </oc>
    <nc r="B68" t="inlineStr">
      <is>
        <t>03 2 00 R3032</t>
      </is>
    </nc>
  </rcc>
  <rcc rId="2855" sId="1">
    <oc r="B69" t="inlineStr">
      <is>
        <t>03 2 00 53030</t>
      </is>
    </oc>
    <nc r="B69" t="inlineStr">
      <is>
        <t>03 2 00 R3032</t>
      </is>
    </nc>
  </rcc>
  <rcc rId="2856" sId="1">
    <oc r="B70" t="inlineStr">
      <is>
        <t>03 2 00 53030</t>
      </is>
    </oc>
    <nc r="B70" t="inlineStr">
      <is>
        <t>03 2 00 R3032</t>
      </is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99" sId="1" numFmtId="34">
    <oc r="D766">
      <v>93421</v>
    </oc>
    <nc r="D766">
      <f>93421-22158</f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0" sId="1">
    <oc r="D746">
      <f>2883700+70000-2111604.31+267000</f>
    </oc>
    <nc r="D746">
      <f>2883700+70000-2111604.31+267000-262984.84</f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01" sId="1" ref="A382:XFD382" action="insertRow"/>
  <rrc rId="5302" sId="1" ref="A382:XFD382" action="insertRow"/>
  <rrc rId="5303" sId="1" ref="A382:XFD382" action="insertRow"/>
  <rrc rId="5304" sId="1" ref="A382:XFD382" action="insertRow"/>
  <rcc rId="5305" sId="1">
    <nc r="B382" t="inlineStr">
      <is>
        <t>08 0 00 83053</t>
      </is>
    </nc>
  </rcc>
  <rcc rId="5306" sId="1">
    <nc r="B383" t="inlineStr">
      <is>
        <t>08 0 00 83053</t>
      </is>
    </nc>
  </rcc>
  <rcc rId="5307" sId="1">
    <nc r="B384" t="inlineStr">
      <is>
        <t>08 0 00 83053</t>
      </is>
    </nc>
  </rcc>
  <rcc rId="5308" sId="1">
    <nc r="B385" t="inlineStr">
      <is>
        <t>08 0 00 83053</t>
      </is>
    </nc>
  </rcc>
  <rcc rId="5309" sId="1">
    <nc r="C385" t="inlineStr">
      <is>
        <t>811</t>
      </is>
    </nc>
  </rcc>
  <rcc rId="5310" sId="1">
    <nc r="C384" t="inlineStr">
      <is>
        <t>810</t>
      </is>
    </nc>
  </rcc>
  <rcc rId="5311" sId="1">
    <nc r="C383" t="inlineStr">
      <is>
        <t>800</t>
      </is>
    </nc>
  </rcc>
  <rcc rId="5312" sId="1">
    <nc r="A385" t="inlineStr">
      <is>
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</is>
    </nc>
  </rcc>
  <rcc rId="5313" sId="1">
    <nc r="A384" t="inlineStr">
      <is>
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</is>
    </nc>
  </rcc>
  <rcc rId="5314" sId="1">
    <nc r="A383" t="inlineStr">
      <is>
        <t xml:space="preserve">Иные бюджетные ассигнования </t>
      </is>
    </nc>
  </rcc>
  <rcc rId="5315" sId="1" xfDxf="1" dxf="1">
    <nc r="A382" t="inlineStr">
      <is>
        <t>Возмещение МУП "АТП "Плесецкое" фактически понесенных затрат на обеспечение бесплатного проезда в автомобильном транспорте общего пользования по городскому муниципальному маршруту гражданам, проживающим на территории Плесецкого муниципального округа и достигшим возраста 75 лет и старше, не относящимся к отдельным категориям граждан, установленным статьями 2 и 4 Федерального закона от 12.01.1995 №5-ФЗ "О ветеранах" в 2024 году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5316" sId="1">
    <nc r="D384">
      <f>D385</f>
    </nc>
  </rcc>
  <rcc rId="5317" sId="1">
    <nc r="E384">
      <f>E385</f>
    </nc>
  </rcc>
  <rcc rId="5318" sId="1">
    <nc r="F384">
      <f>F385</f>
    </nc>
  </rcc>
  <rcc rId="5319" sId="1">
    <nc r="D382">
      <f>D383</f>
    </nc>
  </rcc>
  <rcc rId="5320" sId="1">
    <nc r="E382">
      <f>E383</f>
    </nc>
  </rcc>
  <rcc rId="5321" sId="1">
    <nc r="F382">
      <f>F383</f>
    </nc>
  </rcc>
  <rcc rId="5322" sId="1">
    <nc r="D383">
      <f>D384</f>
    </nc>
  </rcc>
  <rcc rId="5323" sId="1">
    <nc r="E383">
      <f>E384</f>
    </nc>
  </rcc>
  <rcc rId="5324" sId="1">
    <nc r="F383">
      <f>F384</f>
    </nc>
  </rcc>
  <rcc rId="5325" sId="1" numFmtId="34">
    <nc r="D385">
      <v>97305.96</v>
    </nc>
  </rcc>
  <rcc rId="5326" sId="1" numFmtId="34">
    <oc r="D381">
      <v>191145.96</v>
    </oc>
    <nc r="D381">
      <v>93840</v>
    </nc>
  </rcc>
  <rcc rId="5327" sId="1">
    <oc r="D360">
      <f>D361+D369+D374+D378+D365</f>
    </oc>
    <nc r="D360">
      <f>D361+D369+D374+D378+D365+D382</f>
    </nc>
  </rcc>
  <rcc rId="5328" sId="1">
    <oc r="E360">
      <f>E361+E369+E374+E378+E365</f>
    </oc>
    <nc r="E360">
      <f>E361+E369+E374+E378+E365+E382</f>
    </nc>
  </rcc>
  <rcc rId="5329" sId="1">
    <oc r="F360">
      <f>F361+F369+F374+F378+F365</f>
    </oc>
    <nc r="F360">
      <f>F361+F369+F374+F378+F365+F382</f>
    </nc>
  </rcc>
  <rcv guid="{D9B90A86-BE39-4FED-8226-084809D277F3}" action="delete"/>
  <rdn rId="0" localSheetId="1" customView="1" name="Z_D9B90A86_BE39_4FED_8226_084809D277F3_.wvu.PrintArea" hidden="1" oldHidden="1">
    <formula>'программы '!$A$1:$F$917</formula>
    <oldFormula>'программы '!$A$1:$F$917</oldFormula>
  </rdn>
  <rdn rId="0" localSheetId="1" customView="1" name="Z_D9B90A86_BE39_4FED_8226_084809D277F3_.wvu.FilterData" hidden="1" oldHidden="1">
    <formula>'программы '!$C$1:$C$925</formula>
    <oldFormula>'программы '!$C$1:$C$925</oldFormula>
  </rdn>
  <rcv guid="{D9B90A86-BE39-4FED-8226-084809D277F3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32" sId="1" numFmtId="34">
    <oc r="D44">
      <v>14808000</v>
    </oc>
    <nc r="D44">
      <v>16665000</v>
    </nc>
  </rcc>
  <rcc rId="5333" sId="1" numFmtId="34">
    <oc r="E44">
      <v>15817400</v>
    </oc>
    <nc r="E44">
      <v>7240725.2699999996</v>
    </nc>
  </rcc>
  <rcc rId="5334" sId="1" numFmtId="34">
    <oc r="F44">
      <v>15817400</v>
    </oc>
    <nc r="F44">
      <v>6939482.9500000002</v>
    </nc>
  </rcc>
  <rcv guid="{D9B90A86-BE39-4FED-8226-084809D277F3}" action="delete"/>
  <rdn rId="0" localSheetId="1" customView="1" name="Z_D9B90A86_BE39_4FED_8226_084809D277F3_.wvu.PrintArea" hidden="1" oldHidden="1">
    <formula>'программы '!$A$1:$F$917</formula>
    <oldFormula>'программы '!$A$1:$F$917</oldFormula>
  </rdn>
  <rdn rId="0" localSheetId="1" customView="1" name="Z_D9B90A86_BE39_4FED_8226_084809D277F3_.wvu.FilterData" hidden="1" oldHidden="1">
    <formula>'программы '!$C$1:$C$925</formula>
    <oldFormula>'программы '!$C$1:$C$925</oldFormula>
  </rdn>
  <rcv guid="{D9B90A86-BE39-4FED-8226-084809D277F3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37" sId="1" numFmtId="34">
    <oc r="D60">
      <v>1290000</v>
    </oc>
    <nc r="D60">
      <v>1198963.8799999999</v>
    </nc>
  </rcc>
  <rcv guid="{D9B90A86-BE39-4FED-8226-084809D277F3}" action="delete"/>
  <rdn rId="0" localSheetId="1" customView="1" name="Z_D9B90A86_BE39_4FED_8226_084809D277F3_.wvu.PrintArea" hidden="1" oldHidden="1">
    <formula>'программы '!$A$1:$F$917</formula>
    <oldFormula>'программы '!$A$1:$F$917</oldFormula>
  </rdn>
  <rdn rId="0" localSheetId="1" customView="1" name="Z_D9B90A86_BE39_4FED_8226_084809D277F3_.wvu.FilterData" hidden="1" oldHidden="1">
    <formula>'программы '!$C$1:$C$925</formula>
    <oldFormula>'программы '!$C$1:$C$925</oldFormula>
  </rdn>
  <rcv guid="{D9B90A86-BE39-4FED-8226-084809D277F3}" action="add"/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40" sId="1" ref="A71:XFD71" action="insertRow">
    <undo index="0" exp="area" ref3D="1" dr="$A$294:$XFD$302" dn="Z_30E81E54_DD45_4653_9DCD_548F6723F554_.wvu.Rows" sId="1"/>
  </rrc>
  <rrc rId="5341" sId="1" ref="A71:XFD71" action="insertRow">
    <undo index="0" exp="area" ref3D="1" dr="$A$295:$XFD$303" dn="Z_30E81E54_DD45_4653_9DCD_548F6723F554_.wvu.Rows" sId="1"/>
  </rrc>
  <rrc rId="5342" sId="1" ref="A71:XFD71" action="insertRow">
    <undo index="0" exp="area" ref3D="1" dr="$A$296:$XFD$304" dn="Z_30E81E54_DD45_4653_9DCD_548F6723F554_.wvu.Rows" sId="1"/>
  </rrc>
  <rrc rId="5343" sId="1" ref="A71:XFD71" action="insertRow">
    <undo index="0" exp="area" ref3D="1" dr="$A$297:$XFD$305" dn="Z_30E81E54_DD45_4653_9DCD_548F6723F554_.wvu.Rows" sId="1"/>
  </rrc>
  <rcc rId="5344" sId="1" numFmtId="34">
    <nc r="C74">
      <v>612</v>
    </nc>
  </rcc>
  <rcc rId="5345" sId="1" numFmtId="34">
    <nc r="C73">
      <v>610</v>
    </nc>
  </rcc>
  <rcc rId="5346" sId="1" numFmtId="34">
    <nc r="C72">
      <v>600</v>
    </nc>
  </rcc>
  <rfmt sheetId="1" sqref="A71:F74" start="0" length="2147483647">
    <dxf>
      <font>
        <b val="0"/>
      </font>
    </dxf>
  </rfmt>
  <rcc rId="5347" sId="1">
    <nc r="A74" t="inlineStr">
      <is>
        <t>Субсидии бюджетным учреждениям на  иные цели</t>
      </is>
    </nc>
  </rcc>
  <rcc rId="5348" sId="1">
    <nc r="A73" t="inlineStr">
      <is>
        <t>Субсидии бюджетным учреждениям</t>
      </is>
    </nc>
  </rcc>
  <rcc rId="5349" sId="1">
    <nc r="A72" t="inlineStr">
      <is>
        <t>Предоставление субсидий бюджетным, автономным учреждениям и иным некоммерческим организациям</t>
      </is>
    </nc>
  </rcc>
  <rcc rId="5350" sId="1">
    <nc r="A71" t="inlineStr">
      <is>
    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</rcc>
  <rcc rId="5351" sId="1">
    <nc r="B74" t="inlineStr">
      <is>
        <t>03 2 00 L0502</t>
      </is>
    </nc>
  </rcc>
  <rcc rId="5352" sId="1">
    <nc r="B73" t="inlineStr">
      <is>
        <t>03 2 00 L0502</t>
      </is>
    </nc>
  </rcc>
  <rcc rId="5353" sId="1">
    <nc r="B72" t="inlineStr">
      <is>
        <t>03 2 00 L0502</t>
      </is>
    </nc>
  </rcc>
  <rcc rId="5354" sId="1">
    <nc r="B71" t="inlineStr">
      <is>
        <t>03 2 00 L0502</t>
      </is>
    </nc>
  </rcc>
  <rcc rId="5355" sId="1">
    <nc r="D73">
      <f>D74</f>
    </nc>
  </rcc>
  <rcc rId="5356" sId="1">
    <nc r="E73">
      <f>E74</f>
    </nc>
  </rcc>
  <rcc rId="5357" sId="1">
    <nc r="F73">
      <f>F74</f>
    </nc>
  </rcc>
  <rcc rId="5358" sId="1">
    <nc r="D71">
      <f>D72</f>
    </nc>
  </rcc>
  <rcc rId="5359" sId="1">
    <nc r="E71">
      <f>E72</f>
    </nc>
  </rcc>
  <rcc rId="5360" sId="1">
    <nc r="F71">
      <f>F72</f>
    </nc>
  </rcc>
  <rcc rId="5361" sId="1">
    <nc r="D72">
      <f>D73</f>
    </nc>
  </rcc>
  <rcc rId="5362" sId="1">
    <nc r="E72">
      <f>E73</f>
    </nc>
  </rcc>
  <rcc rId="5363" sId="1">
    <nc r="F72">
      <f>F73</f>
    </nc>
  </rcc>
  <rcc rId="5364" sId="1" numFmtId="34">
    <nc r="D74">
      <v>489600</v>
    </nc>
  </rcc>
  <rcc rId="5365" sId="1">
    <oc r="D70">
      <f>D83+D87+D103+D108+D154+D158+D119+D127+D140+D131+D123+D95+D115+D149+D91+D75+D99+D79</f>
    </oc>
    <nc r="D70">
      <f>D83+D87+D103+D108+D154+D158+D119+D127+D140+D131+D123+D95+D115+D149+D91+D75+D99+D79+D71</f>
    </nc>
  </rcc>
  <rcc rId="5366" sId="1">
    <oc r="E70">
      <f>E83+E87+E103+E108+E154+E158+E119+E127+E140+E131+E123+E95+E115+E149+E91+E75+E99+E79</f>
    </oc>
    <nc r="E70">
      <f>E83+E87+E103+E108+E154+E158+E119+E127+E140+E131+E123+E95+E115+E149+E91+E75+E99+E79+E71</f>
    </nc>
  </rcc>
  <rcc rId="5367" sId="1">
    <oc r="F70">
      <f>F83+F87+F103+F108+F154+F158+F119+F127+F140+F131+F123+F95+F115+F149+F91+F75+F99+F79</f>
    </oc>
    <nc r="F70">
      <f>F83+F87+F103+F108+F154+F158+F119+F127+F140+F131+F123+F95+F115+F149+F91+F75+F99+F79+F71</f>
    </nc>
  </rcc>
  <rcv guid="{D9B90A86-BE39-4FED-8226-084809D277F3}" action="delete"/>
  <rdn rId="0" localSheetId="1" customView="1" name="Z_D9B90A86_BE39_4FED_8226_084809D277F3_.wvu.PrintArea" hidden="1" oldHidden="1">
    <formula>'программы '!$A$1:$F$921</formula>
    <oldFormula>'программы '!$A$1:$F$921</oldFormula>
  </rdn>
  <rdn rId="0" localSheetId="1" customView="1" name="Z_D9B90A86_BE39_4FED_8226_084809D277F3_.wvu.FilterData" hidden="1" oldHidden="1">
    <formula>'программы '!$C$1:$C$929</formula>
    <oldFormula>'программы '!$C$1:$C$929</oldFormula>
  </rdn>
  <rcv guid="{D9B90A86-BE39-4FED-8226-084809D277F3}" action="add"/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1:XFD74">
    <dxf>
      <fill>
        <patternFill>
          <bgColor rgb="FFFFFF00"/>
        </patternFill>
      </fill>
    </dxf>
  </rfmt>
  <rcc rId="5370" sId="1" numFmtId="34">
    <oc r="D78">
      <f>33433445+5411800</f>
    </oc>
    <nc r="D78">
      <v>63088896.25</v>
    </nc>
  </rcc>
  <rcc rId="5371" sId="1" numFmtId="34">
    <oc r="D86">
      <v>28113787.239999998</v>
    </oc>
    <nc r="D86">
      <v>31182593.690000001</v>
    </nc>
  </rcc>
  <rcc rId="5372" sId="1" numFmtId="34">
    <oc r="D170">
      <v>4408700</v>
    </oc>
    <nc r="D170">
      <v>4953700</v>
    </nc>
  </rcc>
  <rcv guid="{D9B90A86-BE39-4FED-8226-084809D277F3}" action="delete"/>
  <rdn rId="0" localSheetId="1" customView="1" name="Z_D9B90A86_BE39_4FED_8226_084809D277F3_.wvu.PrintArea" hidden="1" oldHidden="1">
    <formula>'программы '!$A$1:$F$921</formula>
    <oldFormula>'программы '!$A$1:$F$921</oldFormula>
  </rdn>
  <rdn rId="0" localSheetId="1" customView="1" name="Z_D9B90A86_BE39_4FED_8226_084809D277F3_.wvu.FilterData" hidden="1" oldHidden="1">
    <formula>'программы '!$C$1:$C$929</formula>
    <oldFormula>'программы '!$C$1:$C$929</oldFormula>
  </rdn>
  <rcv guid="{D9B90A86-BE39-4FED-8226-084809D277F3}" action="add"/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5" sId="1" numFmtId="34">
    <oc r="D208">
      <v>190900</v>
    </oc>
    <nc r="D208">
      <v>290900</v>
    </nc>
  </rcc>
  <rcc rId="5376" sId="1" numFmtId="34">
    <oc r="D212">
      <v>950000</v>
    </oc>
    <nc r="D212">
      <v>850000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77" sId="1" ref="A427:XFD427" action="insertRow"/>
  <rrc rId="5378" sId="1" ref="A427:XFD427" action="insertRow"/>
  <rrc rId="5379" sId="1" ref="A427:XFD427" action="insertRow"/>
  <rrc rId="5380" sId="1" ref="A427:XFD427" action="insertRow"/>
  <rfmt sheetId="1" sqref="A427:XFD430">
    <dxf>
      <fill>
        <patternFill>
          <bgColor rgb="FFFFFF00"/>
        </patternFill>
      </fill>
    </dxf>
  </rfmt>
  <rcc rId="5381" sId="1">
    <nc r="C430">
      <v>612</v>
    </nc>
  </rcc>
  <rcc rId="5382" sId="1">
    <nc r="C429">
      <v>610</v>
    </nc>
  </rcc>
  <rcc rId="5383" sId="1">
    <nc r="C428">
      <v>600</v>
    </nc>
  </rcc>
  <rcc rId="5384" sId="1">
    <nc r="A430" t="inlineStr">
      <is>
        <t>Субсидии бюджетным учреждениям на  иные цели</t>
      </is>
    </nc>
  </rcc>
  <rcc rId="5385" sId="1">
    <nc r="A429" t="inlineStr">
      <is>
        <t>Субсидии бюджетным учреждениям</t>
      </is>
    </nc>
  </rcc>
  <rcc rId="5386" sId="1">
    <nc r="A428" t="inlineStr">
      <is>
        <t>Предоставление субсидий бюджетным, автономным учреждениям и иным некоммерческим организациям</t>
      </is>
    </nc>
  </rcc>
  <rcc rId="5387" sId="1">
    <nc r="A427" t="inlineStr">
      <is>
        <t>Реализация мероприятий по социально-экономическому развитию</t>
      </is>
    </nc>
  </rcc>
  <rcc rId="5388" sId="1">
    <nc r="B430" t="inlineStr">
      <is>
        <t>12 1 00 Э8160</t>
      </is>
    </nc>
  </rcc>
  <rcc rId="5389" sId="1">
    <nc r="B429" t="inlineStr">
      <is>
        <t>12 1 00 Э8160</t>
      </is>
    </nc>
  </rcc>
  <rcc rId="5390" sId="1">
    <nc r="B428" t="inlineStr">
      <is>
        <t>12 1 00 Э8160</t>
      </is>
    </nc>
  </rcc>
  <rcc rId="5391" sId="1">
    <nc r="B427" t="inlineStr">
      <is>
        <t>12 1 00 Э8160</t>
      </is>
    </nc>
  </rcc>
  <rcc rId="5392" sId="1">
    <nc r="D429">
      <f>D430</f>
    </nc>
  </rcc>
  <rcc rId="5393" sId="1">
    <nc r="E429">
      <f>E430</f>
    </nc>
  </rcc>
  <rcc rId="5394" sId="1">
    <nc r="F429">
      <f>F430</f>
    </nc>
  </rcc>
  <rcc rId="5395" sId="1">
    <nc r="D427">
      <f>D428</f>
    </nc>
  </rcc>
  <rcc rId="5396" sId="1">
    <nc r="E427">
      <f>E428</f>
    </nc>
  </rcc>
  <rcc rId="5397" sId="1">
    <nc r="F427">
      <f>F428</f>
    </nc>
  </rcc>
  <rcc rId="5398" sId="1">
    <nc r="D428">
      <f>D429</f>
    </nc>
  </rcc>
  <rcc rId="5399" sId="1">
    <nc r="E428">
      <f>E429</f>
    </nc>
  </rcc>
  <rcc rId="5400" sId="1">
    <nc r="F428">
      <f>F429</f>
    </nc>
  </rcc>
  <rcc rId="5401" sId="1">
    <oc r="D409">
      <f>D410+D419+D423+D415</f>
    </oc>
    <nc r="D409">
      <f>D410+D419+D423+D415+D427</f>
    </nc>
  </rcc>
  <rcc rId="5402" sId="1">
    <oc r="E409">
      <f>E410+E419+E423+E415</f>
    </oc>
    <nc r="E409">
      <f>E410+E419+E423+E415+E427</f>
    </nc>
  </rcc>
  <rcc rId="5403" sId="1">
    <oc r="F409">
      <f>F410+F419+F423+F415</f>
    </oc>
    <nc r="F409">
      <f>F410+F419+F423+F415+F427</f>
    </nc>
  </rcc>
  <rcc rId="5404" sId="1" numFmtId="34">
    <nc r="D430">
      <v>1510000</v>
    </nc>
  </rcc>
  <rcv guid="{D9B90A86-BE39-4FED-8226-084809D277F3}" action="delete"/>
  <rdn rId="0" localSheetId="1" customView="1" name="Z_D9B90A86_BE39_4FED_8226_084809D277F3_.wvu.PrintArea" hidden="1" oldHidden="1">
    <formula>'программы '!$A$1:$F$925</formula>
    <oldFormula>'программы '!$A$1:$F$925</oldFormula>
  </rdn>
  <rdn rId="0" localSheetId="1" customView="1" name="Z_D9B90A86_BE39_4FED_8226_084809D277F3_.wvu.FilterData" hidden="1" oldHidden="1">
    <formula>'программы '!$C$1:$C$933</formula>
    <oldFormula>'программы '!$C$1:$C$933</oldFormula>
  </rdn>
  <rcv guid="{D9B90A86-BE39-4FED-8226-084809D277F3}" action="add"/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7" sId="1" numFmtId="34">
    <oc r="D593">
      <f>150000-35800</f>
    </oc>
    <nc r="D593">
      <v>92400</v>
    </nc>
  </rcc>
  <rcc rId="5408" sId="1" numFmtId="34">
    <oc r="D712">
      <f>532706.79-244250</f>
    </oc>
    <nc r="D712">
      <v>97856.79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67:B70">
    <dxf>
      <fill>
        <patternFill patternType="solid">
          <bgColor theme="6" tint="0.59999389629810485"/>
        </patternFill>
      </fill>
    </dxf>
  </rfmt>
  <rrc rId="2857" sId="1" ref="A79:XFD79" action="insertRow">
    <undo index="0" exp="area" ref3D="1" dr="$A$237:$XFD$241" dn="Z_D9B90A86_BE39_4FED_8226_084809D277F3_.wvu.Rows" sId="1"/>
    <undo index="0" exp="area" ref3D="1" dr="$A$237:$XFD$241" dn="Z_30E81E54_DD45_4653_9DCD_548F6723F554_.wvu.Rows" sId="1"/>
  </rrc>
  <rrc rId="2858" sId="1" ref="A79:XFD79" action="insertRow">
    <undo index="0" exp="area" ref3D="1" dr="$A$238:$XFD$242" dn="Z_D9B90A86_BE39_4FED_8226_084809D277F3_.wvu.Rows" sId="1"/>
    <undo index="0" exp="area" ref3D="1" dr="$A$238:$XFD$242" dn="Z_30E81E54_DD45_4653_9DCD_548F6723F554_.wvu.Rows" sId="1"/>
  </rrc>
  <rrc rId="2859" sId="1" ref="A79:XFD79" action="insertRow">
    <undo index="0" exp="area" ref3D="1" dr="$A$239:$XFD$243" dn="Z_D9B90A86_BE39_4FED_8226_084809D277F3_.wvu.Rows" sId="1"/>
    <undo index="0" exp="area" ref3D="1" dr="$A$239:$XFD$243" dn="Z_30E81E54_DD45_4653_9DCD_548F6723F554_.wvu.Rows" sId="1"/>
  </rrc>
  <rrc rId="2860" sId="1" ref="A79:XFD79" action="insertRow">
    <undo index="0" exp="area" ref3D="1" dr="$A$240:$XFD$244" dn="Z_D9B90A86_BE39_4FED_8226_084809D277F3_.wvu.Rows" sId="1"/>
    <undo index="0" exp="area" ref3D="1" dr="$A$240:$XFD$244" dn="Z_30E81E54_DD45_4653_9DCD_548F6723F554_.wvu.Rows" sId="1"/>
  </rrc>
  <rcc rId="2861" sId="1" numFmtId="34">
    <nc r="C82">
      <v>612</v>
    </nc>
  </rcc>
  <rcc rId="2862" sId="1" numFmtId="34">
    <nc r="C81">
      <v>610</v>
    </nc>
  </rcc>
  <rcc rId="2863" sId="1" numFmtId="34">
    <nc r="C80">
      <v>600</v>
    </nc>
  </rcc>
  <rcc rId="2864" sId="1" xfDxf="1" dxf="1">
    <nc r="A79" t="inlineStr">
      <is>
    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5" sId="1" xfDxf="1" dxf="1">
    <nc r="A80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6" sId="1" xfDxf="1" dxf="1">
    <nc r="A81" t="inlineStr">
      <is>
        <t>Субсидии бюджетным учреждениям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7" sId="1" xfDxf="1" dxf="1">
    <nc r="A82" t="inlineStr">
      <is>
        <t>Субсидии бюджетным учреждениям на иные цели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8" sId="1" xfDxf="1" dxf="1">
    <nc r="B79" t="inlineStr">
      <is>
        <t>03 2 00 Э4700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69" sId="1" xfDxf="1" dxf="1">
    <nc r="B80" t="inlineStr">
      <is>
        <t>03 2 00 Э4700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70" sId="1" xfDxf="1" dxf="1">
    <nc r="B81" t="inlineStr">
      <is>
        <t>03 2 00 Э4700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71" sId="1" xfDxf="1" dxf="1">
    <nc r="B82" t="inlineStr">
      <is>
        <t>03 2 00 Э4700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72" sId="1">
    <oc r="D66">
      <f>D71+D75+D83+D88+D95+D124+D128+D132+D67+D99+D107+D120+D111+D103</f>
    </oc>
    <nc r="D66">
      <f>D71+D75+D83+D88+D95+D124+D128+D132+D67+D99+D107+D120+D111+D103+D79</f>
    </nc>
  </rcc>
  <rcc rId="2873" sId="1">
    <oc r="E66">
      <f>E71+E75+E83+E88+E95+E124+E128+E132+E67+E99+E107+E120+E111+E103</f>
    </oc>
    <nc r="E66">
      <f>E71+E75+E83+E88+E95+E124+E128+E132+E67+E99+E107+E120+E111+E103+E79</f>
    </nc>
  </rcc>
  <rcc rId="2874" sId="1">
    <oc r="F66">
      <f>F71+F75+F83+F88+F95+F124+F128+F132+F67+F99+F107+F120+F111+F103</f>
    </oc>
    <nc r="F66">
      <f>F71+F75+F83+F88+F95+F124+F128+F132+F67+F99+F107+F120+F111+F103+F79</f>
    </nc>
  </rcc>
  <rcv guid="{D9B90A86-BE39-4FED-8226-084809D277F3}" action="delete"/>
  <rdn rId="0" localSheetId="1" customView="1" name="Z_D9B90A86_BE39_4FED_8226_084809D277F3_.wvu.PrintArea" hidden="1" oldHidden="1">
    <formula>'программы '!$A$1:$F$763</formula>
    <oldFormula>'программы '!$A$1:$F$763</oldFormula>
  </rdn>
  <rdn rId="0" localSheetId="1" customView="1" name="Z_D9B90A86_BE39_4FED_8226_084809D277F3_.wvu.Rows" hidden="1" oldHidden="1">
    <formula>'программы '!$241:$245</formula>
    <oldFormula>'программы '!$241:$245</oldFormula>
  </rdn>
  <rdn rId="0" localSheetId="1" customView="1" name="Z_D9B90A86_BE39_4FED_8226_084809D277F3_.wvu.FilterData" hidden="1" oldHidden="1">
    <formula>'программы '!$A$1:$A$776</formula>
    <oldFormula>'программы '!$A$1:$A$776</oldFormula>
  </rdn>
  <rcv guid="{D9B90A86-BE39-4FED-8226-084809D277F3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9" sId="1" numFmtId="34">
    <oc r="D597">
      <f>1069200+35800</f>
    </oc>
    <nc r="D597">
      <v>1126800</v>
    </nc>
  </rcc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0" sId="1">
    <oc r="D694">
      <f>1196994.24+376200+144590.04-4000</f>
    </oc>
    <nc r="D694">
      <f>1196994.24+376200+144590.04-4000+36814.6</f>
    </nc>
  </rcc>
  <rcc rId="5411" sId="1">
    <oc r="D698">
      <f>8457235.47+452891.15</f>
    </oc>
    <nc r="D698">
      <f>8457235.47+452891.15+307495</f>
    </nc>
  </rcc>
  <rcc rId="5412" sId="1" numFmtId="34">
    <oc r="D702">
      <v>16123.04</v>
    </oc>
    <nc r="D702">
      <f>16123.04-500.74</f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3" sId="1">
    <oc r="D357">
      <f>5000000+344484+87070.87+2381236.58+965247+749950-4527988.45</f>
    </oc>
    <nc r="D357">
      <f>5000000+344484+87070.87+2381236.58+965247+749950-4527988.45-472011.55</f>
    </nc>
  </rcc>
  <rcc rId="5414" sId="1" numFmtId="34">
    <oc r="D363">
      <f>3355721.36-3344747.8</f>
    </oc>
    <nc r="D363">
      <v>0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5" sId="1" numFmtId="34">
    <oc r="D505">
      <v>80000</v>
    </oc>
    <nc r="D505">
      <f>80000-2320.4</f>
    </nc>
  </rcc>
  <rcc rId="5416" sId="1" numFmtId="34">
    <oc r="D509">
      <v>222125</v>
    </oc>
    <nc r="D509">
      <v>224695.4</v>
    </nc>
  </rcc>
  <rrc rId="5417" sId="1" ref="A510:XFD510" action="insertRow"/>
  <rrc rId="5418" sId="1" ref="A510:XFD510" action="insertRow"/>
  <rcc rId="5419" sId="1">
    <nc r="A511" t="inlineStr">
      <is>
        <t>Уплата налогов, сборов и иных платежей</t>
      </is>
    </nc>
  </rcc>
  <rcc rId="5420" sId="1">
    <nc r="A510" t="inlineStr">
      <is>
        <t xml:space="preserve">Иные бюджетные ассигнования </t>
      </is>
    </nc>
  </rcc>
  <rcc rId="5421" sId="1">
    <nc r="C511">
      <v>850</v>
    </nc>
  </rcc>
  <rcc rId="5422" sId="1">
    <nc r="C510">
      <v>800</v>
    </nc>
  </rcc>
  <rcc rId="5423" sId="1">
    <nc r="D510">
      <f>D511</f>
    </nc>
  </rcc>
  <rcc rId="5424" sId="1">
    <nc r="E510">
      <f>E511</f>
    </nc>
  </rcc>
  <rcc rId="5425" sId="1">
    <nc r="F510">
      <f>F511</f>
    </nc>
  </rcc>
  <rcc rId="5426" sId="1">
    <oc r="D501">
      <f>D502+D507</f>
    </oc>
    <nc r="D501">
      <f>D502+D507+D510</f>
    </nc>
  </rcc>
  <rcc rId="5427" sId="1">
    <oc r="E501">
      <f>E502+E507</f>
    </oc>
    <nc r="E501">
      <f>E502+E507+E510</f>
    </nc>
  </rcc>
  <rcc rId="5428" sId="1">
    <oc r="F501">
      <f>F502+F507</f>
    </oc>
    <nc r="F501">
      <f>F502+F507+F510</f>
    </nc>
  </rcc>
  <rfmt sheetId="1" sqref="C501:D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9" sId="1">
    <nc r="B511" t="inlineStr">
      <is>
        <t>16 0 00 80100</t>
      </is>
    </nc>
  </rcc>
  <rcc rId="5430" sId="1">
    <nc r="B510" t="inlineStr">
      <is>
        <t>16 0 00 80100</t>
      </is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1" sId="1" numFmtId="34">
    <nc r="D511">
      <v>250.74</v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2" sId="1">
    <oc r="D862">
      <f>10934655.53+295698.92</f>
    </oc>
    <nc r="D862">
      <f>10934655.53+295698.92+296895.68</f>
    </nc>
  </rcc>
  <rcc rId="5433" sId="1" numFmtId="34">
    <oc r="D864">
      <f>3302265.97+89301.08</f>
    </oc>
    <nc r="D864">
      <v>3481229.54</v>
    </nc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34">
    <oc r="D724">
      <v>2079004.63</v>
    </oc>
    <nc r="D724">
      <v>2108524.94</v>
    </nc>
  </rcc>
  <rcc rId="5435" sId="1" numFmtId="34">
    <oc r="D725">
      <v>80000</v>
    </oc>
    <nc r="D725">
      <v>58640</v>
    </nc>
  </rcc>
  <rcc rId="5436" sId="1" numFmtId="34">
    <oc r="D726">
      <v>627895.22</v>
    </oc>
    <nc r="D726">
      <v>636810.35</v>
    </nc>
  </rcc>
  <rcc rId="5437" sId="1" numFmtId="34">
    <oc r="D729">
      <v>107437.3</v>
    </oc>
    <nc r="D729">
      <v>90361.86</v>
    </nc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8" sId="1" numFmtId="34">
    <oc r="D282">
      <v>3000000</v>
    </oc>
    <nc r="D282">
      <f>3000000-182684.5</f>
    </nc>
  </rcc>
  <rcc rId="5439" sId="1" numFmtId="34">
    <oc r="D290">
      <f>1289000-135000</f>
    </oc>
    <nc r="D290">
      <v>1454000</v>
    </nc>
  </rcc>
  <rcc rId="5440" sId="1" numFmtId="34">
    <oc r="D306">
      <v>365000</v>
    </oc>
    <nc r="D306">
      <v>65000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1" sId="1">
    <oc r="D377">
      <f>1942940.95-3595.22</f>
    </oc>
    <nc r="D377">
      <f>1942940.95-3595.22-653107.36</f>
    </nc>
  </rcc>
  <rcc rId="5442" sId="1">
    <oc r="D357">
      <f>5000000+344484+87070.87+2381236.58+965247+749950-4527988.45-472011.55</f>
    </oc>
    <nc r="D357">
      <f>5000000+344484+87070.87+2381236.58+965247+749950-4527988.45-472011.55-1742.72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9:XFD82">
    <dxf>
      <fill>
        <patternFill patternType="solid">
          <bgColor theme="6" tint="0.59999389629810485"/>
        </patternFill>
      </fill>
    </dxf>
  </rfmt>
  <rrc rId="2878" sId="1" ref="A95:XFD95" action="insertRow">
    <undo index="0" exp="area" ref3D="1" dr="$A$241:$XFD$245" dn="Z_D9B90A86_BE39_4FED_8226_084809D277F3_.wvu.Rows" sId="1"/>
    <undo index="0" exp="area" ref3D="1" dr="$A$241:$XFD$245" dn="Z_30E81E54_DD45_4653_9DCD_548F6723F554_.wvu.Rows" sId="1"/>
  </rrc>
  <rrc rId="2879" sId="1" ref="A95:XFD95" action="insertRow">
    <undo index="0" exp="area" ref3D="1" dr="$A$242:$XFD$246" dn="Z_D9B90A86_BE39_4FED_8226_084809D277F3_.wvu.Rows" sId="1"/>
    <undo index="0" exp="area" ref3D="1" dr="$A$242:$XFD$246" dn="Z_30E81E54_DD45_4653_9DCD_548F6723F554_.wvu.Rows" sId="1"/>
  </rrc>
  <rrc rId="2880" sId="1" ref="A95:XFD95" action="insertRow">
    <undo index="0" exp="area" ref3D="1" dr="$A$243:$XFD$247" dn="Z_D9B90A86_BE39_4FED_8226_084809D277F3_.wvu.Rows" sId="1"/>
    <undo index="0" exp="area" ref3D="1" dr="$A$243:$XFD$247" dn="Z_30E81E54_DD45_4653_9DCD_548F6723F554_.wvu.Rows" sId="1"/>
  </rrc>
  <rrc rId="2881" sId="1" ref="A95:XFD95" action="insertRow">
    <undo index="0" exp="area" ref3D="1" dr="$A$244:$XFD$248" dn="Z_D9B90A86_BE39_4FED_8226_084809D277F3_.wvu.Rows" sId="1"/>
    <undo index="0" exp="area" ref3D="1" dr="$A$244:$XFD$248" dn="Z_30E81E54_DD45_4653_9DCD_548F6723F554_.wvu.Rows" sId="1"/>
  </rrc>
  <rfmt sheetId="1" sqref="D95:D98">
    <dxf>
      <fill>
        <patternFill>
          <bgColor theme="0"/>
        </patternFill>
      </fill>
    </dxf>
  </rfmt>
  <rcc rId="2882" sId="1" numFmtId="34">
    <nc r="C98">
      <v>612</v>
    </nc>
  </rcc>
  <rcc rId="2883" sId="1" numFmtId="34">
    <nc r="C97">
      <v>610</v>
    </nc>
  </rcc>
  <rcc rId="2884" sId="1" numFmtId="34">
    <nc r="C96">
      <v>600</v>
    </nc>
  </rcc>
  <rcc rId="2885" sId="1" xfDxf="1" dxf="1">
    <nc r="A95" t="inlineStr">
      <is>
  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886" sId="1" xfDxf="1" dxf="1">
    <nc r="A96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887" sId="1" xfDxf="1" dxf="1">
    <nc r="A97" t="inlineStr">
      <is>
        <t>Субсидии бюджетным учреждениям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888" sId="1" xfDxf="1" dxf="1">
    <nc r="A98" t="inlineStr">
      <is>
        <t>Субсидии бюджетным учреждениям на  иные цели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889" sId="1" xfDxf="1" s="1" dxf="1">
    <nc r="B95" t="inlineStr">
      <is>
        <t>03 2 00 80981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2890" sId="1" xfDxf="1" s="1" dxf="1">
    <nc r="B96" t="inlineStr">
      <is>
        <t>03 2 00 80981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2891" sId="1" xfDxf="1" s="1" dxf="1">
    <nc r="B97" t="inlineStr">
      <is>
        <t>03 2 00 80981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2892" sId="1" xfDxf="1" s="1" dxf="1">
    <nc r="B98" t="inlineStr">
      <is>
        <t>03 2 00 80981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2893" sId="1">
    <nc r="D81">
      <f>D82</f>
    </nc>
  </rcc>
  <rcc rId="2894" sId="1">
    <nc r="D80">
      <f>D81</f>
    </nc>
  </rcc>
  <rcc rId="2895" sId="1">
    <nc r="D79">
      <f>D80</f>
    </nc>
  </rcc>
  <rcc rId="2896" sId="1">
    <nc r="E81">
      <f>E82</f>
    </nc>
  </rcc>
  <rcc rId="2897" sId="1">
    <nc r="F81">
      <f>F82</f>
    </nc>
  </rcc>
  <rcc rId="2898" sId="1">
    <nc r="E80">
      <f>E81</f>
    </nc>
  </rcc>
  <rcc rId="2899" sId="1">
    <nc r="F80">
      <f>F81</f>
    </nc>
  </rcc>
  <rcc rId="2900" sId="1">
    <nc r="E79">
      <f>E80</f>
    </nc>
  </rcc>
  <rcc rId="2901" sId="1">
    <nc r="F79">
      <f>F80</f>
    </nc>
  </rcc>
  <rfmt sheetId="1" sqref="A95:XFD98" start="0" length="2147483647">
    <dxf>
      <font>
        <color rgb="FFFF0000"/>
      </font>
    </dxf>
  </rfmt>
  <rfmt sheetId="1" sqref="A95:XFD98" start="0" length="2147483647">
    <dxf>
      <font/>
    </dxf>
  </rfmt>
  <rfmt sheetId="1" sqref="A95:XFD98" start="0" length="2147483647">
    <dxf>
      <font>
        <color auto="1"/>
      </font>
    </dxf>
  </rfmt>
  <rfmt sheetId="1" sqref="A95:XFD98">
    <dxf>
      <fill>
        <patternFill>
          <bgColor theme="6" tint="0.59999389629810485"/>
        </patternFill>
      </fill>
    </dxf>
  </rfmt>
  <rcc rId="2902" sId="1">
    <nc r="D97">
      <f>D98</f>
    </nc>
  </rcc>
  <rcc rId="2903" sId="1">
    <nc r="D96">
      <f>D97</f>
    </nc>
  </rcc>
  <rcc rId="2904" sId="1">
    <nc r="D95">
      <f>D96</f>
    </nc>
  </rcc>
  <rcc rId="2905" sId="1">
    <nc r="E97">
      <f>E98</f>
    </nc>
  </rcc>
  <rcc rId="2906" sId="1">
    <nc r="F97">
      <f>F98</f>
    </nc>
  </rcc>
  <rcc rId="2907" sId="1">
    <nc r="E96">
      <f>E97</f>
    </nc>
  </rcc>
  <rcc rId="2908" sId="1">
    <nc r="F96">
      <f>F97</f>
    </nc>
  </rcc>
  <rcc rId="2909" sId="1">
    <nc r="E95">
      <f>E96</f>
    </nc>
  </rcc>
  <rcc rId="2910" sId="1">
    <nc r="F95">
      <f>F96</f>
    </nc>
  </rcc>
  <rcv guid="{D9B90A86-BE39-4FED-8226-084809D277F3}" action="delete"/>
  <rdn rId="0" localSheetId="1" customView="1" name="Z_D9B90A86_BE39_4FED_8226_084809D277F3_.wvu.PrintArea" hidden="1" oldHidden="1">
    <formula>'программы '!$A$1:$F$767</formula>
    <oldFormula>'программы '!$A$1:$F$767</oldFormula>
  </rdn>
  <rdn rId="0" localSheetId="1" customView="1" name="Z_D9B90A86_BE39_4FED_8226_084809D277F3_.wvu.Rows" hidden="1" oldHidden="1">
    <formula>'программы '!$245:$249</formula>
    <oldFormula>'программы '!$245:$249</oldFormula>
  </rdn>
  <rdn rId="0" localSheetId="1" customView="1" name="Z_D9B90A86_BE39_4FED_8226_084809D277F3_.wvu.FilterData" hidden="1" oldHidden="1">
    <formula>'программы '!$A$1:$A$780</formula>
    <oldFormula>'программы '!$A$1:$A$780</oldFormula>
  </rdn>
  <rcv guid="{D9B90A86-BE39-4FED-8226-084809D277F3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3" sId="1" numFmtId="34">
    <oc r="D576">
      <v>7600000</v>
    </oc>
    <nc r="D576">
      <f>7600000-2600191.95</f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4" sId="1" numFmtId="34">
    <oc r="D755">
      <v>8700000</v>
    </oc>
    <nc r="D755">
      <f>8700000-1921485.27</f>
    </nc>
  </rcc>
  <rcc rId="5445" sId="1">
    <oc r="D773">
      <f>2874890.87-97542.24</f>
    </oc>
    <nc r="D773">
      <f>2874890.87-97542.24-141627.76</f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6" sId="1" numFmtId="34">
    <oc r="D240">
      <v>10710000</v>
    </oc>
    <nc r="D240">
      <f>10710000+2000000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7" sId="1">
    <oc r="D251">
      <f>6128158.25-40062</f>
    </oc>
    <nc r="D251">
      <f>6128158.25-40062-2067.32</f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8" sId="1">
    <oc r="D755">
      <f>8700000-1921485.27</f>
    </oc>
    <nc r="D755">
      <f>8700000-1921485.27-222894.69</f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9" sId="1">
    <oc r="D760">
      <f>2883700+70000-2111604.31+267000-262984.84</f>
    </oc>
    <nc r="D760">
      <f>2883700+70000-2111604.31+267000-262984.84-49469.65</f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0" sId="1" numFmtId="34">
    <oc r="D797">
      <v>500000</v>
    </oc>
    <nc r="D797">
      <f>500000-279465.01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1" sId="1" numFmtId="34">
    <oc r="D22">
      <v>362250</v>
    </oc>
    <nc r="D22">
      <f>362250-162516.67</f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2" sId="1">
    <oc r="D240">
      <f>10710000+2000000</f>
    </oc>
    <nc r="D240">
      <f>10710000+2000000-2191899.42</f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3" sId="1">
    <oc r="D259">
      <f>4772643.2+40062+226164.2+100000+200000</f>
    </oc>
    <nc r="D259">
      <f>4772643.2+40062+226164.2+100000+200000+1087386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4" sId="1">
    <oc r="D66">
      <f>D71+D75+D83+D88+D99+D128+D132+D136+D67+D103+D111+D124+D115+D107+D79</f>
    </oc>
    <nc r="D66">
      <f>D71+D75+D83+D88+D99+D128+D132+D136+D67+D103+D111+D124+D115+D107+D79+D95</f>
    </nc>
  </rcc>
  <rcc rId="2915" sId="1">
    <oc r="E66">
      <f>E71+E75+E83+E88+E99+E128+E132+E136+E67+E103+E111+E124+E115+E107+E79</f>
    </oc>
    <nc r="E66">
      <f>E71+E75+E83+E88+E99+E128+E132+E136+E67+E103+E111+E124+E115+E107+E79+E95</f>
    </nc>
  </rcc>
  <rcc rId="2916" sId="1">
    <oc r="F66">
      <f>F71+F75+F83+F88+F99+F128+F132+F136+F67+F103+F111+F124+F115+F107+F79</f>
    </oc>
    <nc r="F66">
      <f>F71+F75+F83+F88+F99+F128+F132+F136+F67+F103+F111+F124+F115+F107+F79+F95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4" sId="1">
    <oc r="D264">
      <f>7881164.9-320468.9</f>
    </oc>
    <nc r="D264">
      <f>7881164.9-320468.9-420000</f>
    </nc>
  </rcc>
  <rcc rId="5455" sId="1" numFmtId="34">
    <oc r="D336">
      <v>110000</v>
    </oc>
    <nc r="D336">
      <v>0</v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6" sId="1">
    <oc r="D357">
      <f>5000000+344484+87070.87+2381236.58+965247+749950-4527988.45-472011.55-1742.72</f>
    </oc>
    <nc r="D357">
      <f>5000000+344484+87070.87+2381236.58+965247+749950-4527988.45-472011.55-1742.72+346639.75</f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7" sId="1">
    <oc r="D361">
      <f>2487459+857288.8</f>
    </oc>
    <nc r="D361">
      <f>2487459+857288.8+160962.36</f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8" sId="1" numFmtId="34">
    <oc r="D717">
      <f>472574+104250</f>
    </oc>
    <nc r="D717">
      <v>717424</v>
    </nc>
  </rcc>
  <rcc rId="5459" sId="1">
    <oc r="D700">
      <f>8457235.47+452891.15+307495</f>
    </oc>
    <nc r="D700">
      <f>8457235.47+452891.15+307495-5000</f>
    </nc>
  </rcc>
  <rcc rId="5460" sId="1">
    <oc r="D868">
      <f>6215375.53-446399.17</f>
    </oc>
    <nc r="D868">
      <f>6215375.53-446399.17+5000</f>
    </nc>
  </rcc>
  <rcv guid="{D9B90A86-BE39-4FED-8226-084809D277F3}" action="delete"/>
  <rdn rId="0" localSheetId="1" customView="1" name="Z_D9B90A86_BE39_4FED_8226_084809D277F3_.wvu.PrintArea" hidden="1" oldHidden="1">
    <formula>'программы '!$A$1:$F$927</formula>
    <oldFormula>'программы '!$A$1:$F$927</oldFormula>
  </rdn>
  <rdn rId="0" localSheetId="1" customView="1" name="Z_D9B90A86_BE39_4FED_8226_084809D277F3_.wvu.FilterData" hidden="1" oldHidden="1">
    <formula>'программы '!$C$1:$C$935</formula>
    <oldFormula>'программы '!$C$1:$C$935</oldFormula>
  </rdn>
  <rcv guid="{D9B90A86-BE39-4FED-8226-084809D277F3}" action="add"/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3" sId="1">
    <oc r="D357">
      <f>5000000+344484+87070.87+2381236.58+965247+749950-4527988.45-472011.55-1742.72+346639.75</f>
    </oc>
    <nc r="D357">
      <f>5000000+344484+87070.87+2381236.58+965247+749950-4527988.45-472011.55-1742.72+346639.75+127114.52</f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4" sId="1" numFmtId="34">
    <oc r="D401">
      <f>2225871.17+39843.36</f>
    </oc>
    <nc r="D401">
      <v>2841747.36</v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5" sId="1">
    <oc r="D719">
      <f>460000+140000</f>
    </oc>
    <nc r="D719">
      <f>460000+140000+50000</f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6" sId="1">
    <oc r="D361">
      <f>2487459+857288.8+160962.36</f>
    </oc>
    <nc r="D361">
      <f>2487459+857288.8+160962.36-149988.8</f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7" sId="1">
    <oc r="D734">
      <f>440000-39546.6</f>
    </oc>
    <nc r="D734">
      <f>440000-39546.6-100000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8" sId="1" numFmtId="34">
    <oc r="D823">
      <v>180000</v>
    </oc>
    <nc r="D823">
      <f>180000+100000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7" sId="1">
    <nc r="D55">
      <f>D56</f>
    </nc>
  </rcc>
  <rcc rId="2918" sId="1">
    <nc r="E55">
      <f>E56</f>
    </nc>
  </rcc>
  <rcc rId="2919" sId="1">
    <nc r="F55">
      <f>F56</f>
    </nc>
  </rcc>
  <rcc rId="2920" sId="1">
    <nc r="D54">
      <f>D55</f>
    </nc>
  </rcc>
  <rcc rId="2921" sId="1">
    <nc r="E54">
      <f>E55</f>
    </nc>
  </rcc>
  <rcc rId="2922" sId="1">
    <nc r="F54">
      <f>F55</f>
    </nc>
  </rcc>
  <rcc rId="2923" sId="1">
    <nc r="D53">
      <f>D54</f>
    </nc>
  </rcc>
  <rcc rId="2924" sId="1">
    <nc r="E53">
      <f>E54</f>
    </nc>
  </rcc>
  <rcc rId="2925" sId="1">
    <nc r="F53">
      <f>F54</f>
    </nc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9" sId="1" numFmtId="34">
    <oc r="D608">
      <v>1235800</v>
    </oc>
    <nc r="D608">
      <f>1235800+5063.14</f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0" sId="1">
    <oc r="D616">
      <f>719100-124036.86</f>
    </oc>
    <nc r="D616">
      <f>719100-124036.86-5063.14</f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1" sId="1" numFmtId="34">
    <oc r="D833">
      <v>7636954.1300000008</v>
    </oc>
    <nc r="D833">
      <f>7636954.13+3681417.62</f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2" sId="1">
    <oc r="D31">
      <f>54932575.22-984473.45</f>
    </oc>
    <nc r="D31">
      <f>54932575.22-984473.45+1841277.9</f>
    </nc>
  </rcc>
  <rcc rId="5473" sId="1">
    <oc r="D34">
      <f>2659965.94+984473.45</f>
    </oc>
    <nc r="D34">
      <f>2659965.94+984473.45-1841277.9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>
    <oc r="D240">
      <f>10710000+2000000-2191899.42</f>
    </oc>
    <nc r="D240">
      <f>10710000+2000000-2191899.42+2600000</f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75" sId="1" ref="A240:XFD240" action="insertRow">
    <undo index="0" exp="area" ref3D="1" dr="$A$298:$XFD$306" dn="Z_30E81E54_DD45_4653_9DCD_548F6723F554_.wvu.Rows" sId="1"/>
  </rrc>
  <rcc rId="5476" sId="1">
    <nc r="C240" t="inlineStr">
      <is>
        <t>243</t>
      </is>
    </nc>
  </rcc>
  <rcc rId="5477" sId="1">
    <nc r="B240" t="inlineStr">
      <is>
        <t>04 0 00 Э8160</t>
      </is>
    </nc>
  </rcc>
  <rcc rId="5478" sId="1" odxf="1" dxf="1">
    <nc r="A240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5479" sId="1" numFmtId="34">
    <nc r="D240">
      <v>11100191.949999999</v>
    </nc>
  </rcc>
  <rcc rId="5480" sId="1">
    <oc r="D238">
      <f>D239</f>
    </oc>
    <nc r="D238">
      <f>D239</f>
    </nc>
  </rcc>
  <rcc rId="5481" sId="1">
    <oc r="D239">
      <f>D241</f>
    </oc>
    <nc r="D239">
      <f>D241+D240</f>
    </nc>
  </rcc>
  <rcc rId="5482" sId="1">
    <oc r="E239">
      <f>E241</f>
    </oc>
    <nc r="E239">
      <f>E241+E240</f>
    </nc>
  </rcc>
  <rcc rId="5483" sId="1">
    <oc r="F239">
      <f>F241</f>
    </oc>
    <nc r="F239">
      <f>F241+F240</f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4" sId="1" numFmtId="34">
    <oc r="D244">
      <v>10000000</v>
    </oc>
    <nc r="D244">
      <f>10000000-10000000</f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5" sId="1" numFmtId="34">
    <oc r="D161">
      <v>25907674.970000003</v>
    </oc>
    <nc r="D161">
      <v>22342874.969999999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6" sId="1" numFmtId="34">
    <oc r="D408">
      <v>45000</v>
    </oc>
    <nc r="D408">
      <f>45000+20100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34">
    <oc r="D582">
      <v>75000</v>
    </oc>
    <nc r="D582">
      <f>75000+75000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6" sId="1" ref="A128:XFD128" action="insertRow">
    <undo index="0" exp="area" ref3D="1" dr="$A$245:$XFD$249" dn="Z_D9B90A86_BE39_4FED_8226_084809D277F3_.wvu.Rows" sId="1"/>
    <undo index="0" exp="area" ref3D="1" dr="$A$245:$XFD$249" dn="Z_30E81E54_DD45_4653_9DCD_548F6723F554_.wvu.Rows" sId="1"/>
  </rrc>
  <rrc rId="2927" sId="1" ref="A128:XFD128" action="insertRow">
    <undo index="0" exp="area" ref3D="1" dr="$A$246:$XFD$250" dn="Z_D9B90A86_BE39_4FED_8226_084809D277F3_.wvu.Rows" sId="1"/>
    <undo index="0" exp="area" ref3D="1" dr="$A$246:$XFD$250" dn="Z_30E81E54_DD45_4653_9DCD_548F6723F554_.wvu.Rows" sId="1"/>
  </rrc>
  <rrc rId="2928" sId="1" ref="A128:XFD129" action="insertRow">
    <undo index="0" exp="area" ref3D="1" dr="$A$247:$XFD$251" dn="Z_D9B90A86_BE39_4FED_8226_084809D277F3_.wvu.Rows" sId="1"/>
    <undo index="0" exp="area" ref3D="1" dr="$A$247:$XFD$251" dn="Z_30E81E54_DD45_4653_9DCD_548F6723F554_.wvu.Rows" sId="1"/>
  </rrc>
  <rrc rId="2929" sId="1" ref="A128:XFD129" action="insertRow">
    <undo index="0" exp="area" ref3D="1" dr="$A$249:$XFD$253" dn="Z_D9B90A86_BE39_4FED_8226_084809D277F3_.wvu.Rows" sId="1"/>
    <undo index="0" exp="area" ref3D="1" dr="$A$249:$XFD$253" dn="Z_30E81E54_DD45_4653_9DCD_548F6723F554_.wvu.Rows" sId="1"/>
  </rrc>
  <rrc rId="2930" sId="1" ref="A128:XFD129" action="insertRow">
    <undo index="0" exp="area" ref3D="1" dr="$A$251:$XFD$255" dn="Z_D9B90A86_BE39_4FED_8226_084809D277F3_.wvu.Rows" sId="1"/>
    <undo index="0" exp="area" ref3D="1" dr="$A$251:$XFD$255" dn="Z_30E81E54_DD45_4653_9DCD_548F6723F554_.wvu.Rows" sId="1"/>
  </rrc>
  <rrc rId="2931" sId="1" ref="A128:XFD129" action="insertRow">
    <undo index="0" exp="area" ref3D="1" dr="$A$253:$XFD$257" dn="Z_D9B90A86_BE39_4FED_8226_084809D277F3_.wvu.Rows" sId="1"/>
    <undo index="0" exp="area" ref3D="1" dr="$A$253:$XFD$257" dn="Z_30E81E54_DD45_4653_9DCD_548F6723F554_.wvu.Rows" sId="1"/>
  </rrc>
  <rrc rId="2932" sId="1" ref="A137:XFD137" action="deleteRow">
    <undo index="0" exp="area" ref3D="1" dr="$A$255:$XFD$259" dn="Z_D9B90A86_BE39_4FED_8226_084809D277F3_.wvu.Rows" sId="1"/>
    <undo index="0" exp="area" ref3D="1" dr="$A$255:$XFD$259" dn="Z_30E81E54_DD45_4653_9DCD_548F6723F554_.wvu.Rows" sId="1"/>
    <rfmt sheetId="1" xfDxf="1" sqref="A137:XFD137" start="0" length="0">
      <dxf>
        <font>
          <name val="Times New Roman"/>
          <scheme val="none"/>
        </font>
        <alignment vertical="center" readingOrder="0"/>
      </dxf>
    </rfmt>
    <rfmt sheetId="1" sqref="A137" start="0" length="0">
      <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137" start="0" length="0">
      <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37" start="0" length="0">
      <dxf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37" start="0" length="0">
      <dxf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37" start="0" length="0">
      <dxf>
        <numFmt numFmtId="167" formatCode="_(* #,##0.00_);_(* \(#,##0.00\);_(* &quot;-&quot;??_);_(@_)"/>
        <alignment horizont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33" sId="1">
    <nc r="C136">
      <v>612</v>
    </nc>
  </rcc>
  <rcc rId="2934" sId="1">
    <nc r="C135">
      <v>610</v>
    </nc>
  </rcc>
  <rcc rId="2935" sId="1">
    <nc r="C134">
      <v>600</v>
    </nc>
  </rcc>
  <rcc rId="2936" sId="1">
    <nc r="C131">
      <v>612</v>
    </nc>
  </rcc>
  <rcc rId="2937" sId="1">
    <nc r="C130">
      <v>610</v>
    </nc>
  </rcc>
  <rcc rId="2938" sId="1">
    <nc r="C129">
      <v>600</v>
    </nc>
  </rcc>
  <rcc rId="2939" sId="1" xfDxf="1" dxf="1">
    <nc r="B128" t="inlineStr">
      <is>
        <t>03 2 E2 50981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0" sId="1" xfDxf="1" dxf="1">
    <nc r="B129" t="inlineStr">
      <is>
        <t>03 2 E2 50981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1" sId="1" xfDxf="1" dxf="1">
    <nc r="B130" t="inlineStr">
      <is>
        <t>03 2 E2 50981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2" sId="1" xfDxf="1" dxf="1">
    <nc r="B131" t="inlineStr">
      <is>
        <t>03 2 E2 50981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3" sId="1" xfDxf="1" dxf="1">
    <nc r="B132" t="inlineStr">
      <is>
        <t>03 2 EВ 00000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4" sId="1" xfDxf="1" dxf="1">
    <nc r="B133" t="inlineStr">
      <is>
        <t>03 2 EВ 51792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5" sId="1" xfDxf="1" dxf="1">
    <nc r="B134" t="inlineStr">
      <is>
        <t>03 2 EВ 51792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6" sId="1" xfDxf="1" dxf="1">
    <nc r="B135" t="inlineStr">
      <is>
        <t>03 2 EВ 51792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7" sId="1" xfDxf="1" dxf="1">
    <nc r="B136" t="inlineStr">
      <is>
        <t>03 2 EВ 51792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48" sId="1" xfDxf="1" dxf="1">
    <nc r="A128" t="inlineStr">
      <is>
  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49" sId="1" xfDxf="1" dxf="1">
    <nc r="A129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0" sId="1" xfDxf="1" dxf="1">
    <nc r="A130" t="inlineStr">
      <is>
        <t>Субсидии бюджетным учреждениям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1" sId="1" xfDxf="1" dxf="1">
    <nc r="A131" t="inlineStr">
      <is>
        <t>Субсидии бюджетным учреждениям на  иные цели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2" sId="1" xfDxf="1" dxf="1">
    <nc r="A132" t="inlineStr">
      <is>
        <t>Мероприятия в рамках Федерального проекта "Патриотическое воспитание граждан Российской Федерации"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3" sId="1" xfDxf="1" dxf="1">
    <nc r="A133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4" sId="1" xfDxf="1" dxf="1">
    <nc r="A134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5" sId="1" xfDxf="1" dxf="1">
    <nc r="A135" t="inlineStr">
      <is>
        <t>Субсидии бюджетным учреждениям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2956" sId="1" xfDxf="1" dxf="1">
    <nc r="A136" t="inlineStr">
      <is>
        <t>Субсидии бюджетным учреждениям на  иные цели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128:XFD136">
    <dxf>
      <fill>
        <patternFill>
          <bgColor theme="6" tint="0.59999389629810485"/>
        </patternFill>
      </fill>
    </dxf>
  </rfmt>
  <rcc rId="2957" sId="1">
    <nc r="D135">
      <f>D136</f>
    </nc>
  </rcc>
  <rcc rId="2958" sId="1">
    <nc r="E135">
      <f>E136</f>
    </nc>
  </rcc>
  <rcc rId="2959" sId="1">
    <nc r="F135">
      <f>F136</f>
    </nc>
  </rcc>
  <rcc rId="2960" sId="1">
    <nc r="D134">
      <f>D135</f>
    </nc>
  </rcc>
  <rcc rId="2961" sId="1">
    <nc r="E134">
      <f>E135</f>
    </nc>
  </rcc>
  <rcc rId="2962" sId="1">
    <nc r="F134">
      <f>F135</f>
    </nc>
  </rcc>
  <rcc rId="2963" sId="1">
    <nc r="D133">
      <f>D134</f>
    </nc>
  </rcc>
  <rcc rId="2964" sId="1">
    <nc r="E133">
      <f>E134</f>
    </nc>
  </rcc>
  <rcc rId="2965" sId="1">
    <nc r="F133">
      <f>F134</f>
    </nc>
  </rcc>
  <rcc rId="2966" sId="1">
    <nc r="D132">
      <f>D133</f>
    </nc>
  </rcc>
  <rcc rId="2967" sId="1">
    <nc r="E132">
      <f>E133</f>
    </nc>
  </rcc>
  <rcc rId="2968" sId="1">
    <nc r="F132">
      <f>F133</f>
    </nc>
  </rcc>
  <rcc rId="2969" sId="1">
    <nc r="D130">
      <f>D131</f>
    </nc>
  </rcc>
  <rcc rId="2970" sId="1">
    <nc r="E130">
      <f>E131</f>
    </nc>
  </rcc>
  <rcc rId="2971" sId="1">
    <nc r="F130">
      <f>F131</f>
    </nc>
  </rcc>
  <rcc rId="2972" sId="1">
    <nc r="D129">
      <f>D130</f>
    </nc>
  </rcc>
  <rcc rId="2973" sId="1">
    <nc r="E129">
      <f>E130</f>
    </nc>
  </rcc>
  <rcc rId="2974" sId="1">
    <nc r="F129">
      <f>F130</f>
    </nc>
  </rcc>
  <rcc rId="2975" sId="1">
    <nc r="D128">
      <f>D129</f>
    </nc>
  </rcc>
  <rcc rId="2976" sId="1">
    <nc r="E128">
      <f>E129</f>
    </nc>
  </rcc>
  <rcc rId="2977" sId="1">
    <nc r="F128">
      <f>F129</f>
    </nc>
  </rcc>
  <rcv guid="{D9B90A86-BE39-4FED-8226-084809D277F3}" action="delete"/>
  <rdn rId="0" localSheetId="1" customView="1" name="Z_D9B90A86_BE39_4FED_8226_084809D277F3_.wvu.PrintArea" hidden="1" oldHidden="1">
    <formula>'программы '!$A$1:$F$776</formula>
    <oldFormula>'программы '!$A$1:$F$776</oldFormula>
  </rdn>
  <rdn rId="0" localSheetId="1" customView="1" name="Z_D9B90A86_BE39_4FED_8226_084809D277F3_.wvu.Rows" hidden="1" oldHidden="1">
    <formula>'программы '!$254:$258</formula>
    <oldFormula>'программы '!$254:$258</oldFormula>
  </rdn>
  <rdn rId="0" localSheetId="1" customView="1" name="Z_D9B90A86_BE39_4FED_8226_084809D277F3_.wvu.FilterData" hidden="1" oldHidden="1">
    <formula>'программы '!$A$1:$A$789</formula>
    <oldFormula>'программы '!$A$1:$A$789</oldFormula>
  </rdn>
  <rcv guid="{D9B90A86-BE39-4FED-8226-084809D277F3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8" sId="1" numFmtId="34">
    <oc r="D596">
      <v>92400</v>
    </oc>
    <nc r="D596">
      <f>92400-45000</f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D408">
      <f>45000+20100</f>
    </oc>
    <nc r="D408">
      <f>45000+20100-20100</f>
    </nc>
  </rcc>
  <rcc rId="5490" sId="1">
    <oc r="D582">
      <f>75000+75000</f>
    </oc>
    <nc r="D582">
      <f>75000+75000-75000</f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1" sId="1">
    <oc r="D824">
      <f>180000+100000</f>
    </oc>
    <nc r="D824">
      <f>180000+100000+50000</f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824:D824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5492" sId="1">
    <oc r="D869">
      <f>6215375.53-446399.17+5000</f>
    </oc>
    <nc r="D869">
      <f>6215375.53-446399.17+5000+45000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3" sId="1">
    <oc r="D701">
      <f>8457235.47+452891.15+307495-5000</f>
    </oc>
    <nc r="D701">
      <f>8457235.47+452891.15+307495-5000-50000</f>
    </nc>
  </rcc>
  <rcc rId="5494" sId="1">
    <oc r="D697">
      <f>1196994.24+376200+144590.04-4000+36814.6</f>
    </oc>
    <nc r="D697">
      <f>1196994.24+376200+144590.04-4000+36814.6-100000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5" sId="1">
    <oc r="D735">
      <f>440000-39546.6-100000</f>
    </oc>
    <nc r="D735">
      <f>440000-39546.6-100000-46527.67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6" sId="1" numFmtId="34">
    <oc r="D739">
      <v>681300</v>
    </oc>
    <nc r="D739">
      <f>681300-164134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7" sId="1">
    <oc r="D824">
      <f>180000+100000+50000</f>
    </oc>
    <nc r="D824">
      <f>180000+100000+50000+146527.67</f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8" sId="1">
    <oc r="D774">
      <f>2874890.87-97542.24-141627.76</f>
    </oc>
    <nc r="D774">
      <f>2874890.87-97542.24-141627.76+417670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9" sId="1" numFmtId="34">
    <oc r="D111">
      <v>253536</v>
    </oc>
    <nc r="D111">
      <f>253536-253536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>
    <oc r="D66">
      <f>D71+D75+D83+D88+D99+D137+D141+D145+D67+D103+D111+D124+D115+D107+D79+D95</f>
    </oc>
    <nc r="D66">
      <f>D71+D75+D83+D88+D99+D137+D141+D145+D67+D103+D111+D124+D115+D107+D79+D95+D132</f>
    </nc>
  </rcc>
  <rcc rId="2982" sId="1">
    <oc r="E66">
      <f>E71+E75+E83+E88+E99+E137+E141+E145+E67+E103+E111+E124+E115+E107+E79+E95</f>
    </oc>
    <nc r="E66">
      <f>E71+E75+E83+E88+E99+E137+E141+E145+E67+E103+E111+E124+E115+E107+E79+E95+E132</f>
    </nc>
  </rcc>
  <rcc rId="2983" sId="1">
    <oc r="F66">
      <f>F71+F75+F83+F88+F99+F137+F141+F145+F67+F103+F111+F124+F115+F107+F79+F95</f>
    </oc>
    <nc r="F66">
      <f>F71+F75+F83+F88+F99+F137+F141+F145+F67+F103+F111+F124+F115+F107+F79+F95+F132</f>
    </nc>
  </rcc>
  <rrc rId="2984" sId="1" ref="A125:XFD125" action="insertRow">
    <undo index="0" exp="area" ref3D="1" dr="$A$254:$XFD$258" dn="Z_D9B90A86_BE39_4FED_8226_084809D277F3_.wvu.Rows" sId="1"/>
    <undo index="0" exp="area" ref3D="1" dr="$A$254:$XFD$258" dn="Z_30E81E54_DD45_4653_9DCD_548F6723F554_.wvu.Rows" sId="1"/>
  </rrc>
  <rcc rId="2985" sId="1" xfDxf="1" dxf="1">
    <nc r="B125" t="inlineStr">
      <is>
        <t>03 2 Е2 50970</t>
      </is>
    </nc>
    <ndxf>
      <font>
        <name val="Times New Roman"/>
        <scheme val="none"/>
      </font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86" sId="1" xfDxf="1" dxf="1">
    <nc r="A125" t="inlineStr">
      <is>
        <t>Создание в общеобразовательных организациях, расположенных в сельской местности, условий для занятий физической культурой и спортом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5:XFD125">
    <dxf>
      <fill>
        <patternFill patternType="solid">
          <bgColor theme="6" tint="0.59999389629810485"/>
        </patternFill>
      </fill>
    </dxf>
  </rfmt>
  <rcc rId="2987" sId="1">
    <nc r="D125">
      <f>D126</f>
    </nc>
  </rcc>
  <rcc rId="2988" sId="1">
    <nc r="E125">
      <f>E126</f>
    </nc>
  </rcc>
  <rcc rId="2989" sId="1">
    <nc r="F125">
      <f>F126</f>
    </nc>
  </rcc>
  <rcc rId="2990" sId="1">
    <oc r="D124">
      <f>D125</f>
    </oc>
    <nc r="D124">
      <f>D125+D129</f>
    </nc>
  </rcc>
  <rcc rId="2991" sId="1">
    <oc r="E124">
      <f>E125</f>
    </oc>
    <nc r="E124">
      <f>E125+E129</f>
    </nc>
  </rcc>
  <rcc rId="2992" sId="1">
    <oc r="F124">
      <f>F125</f>
    </oc>
    <nc r="F124">
      <f>F125+F129</f>
    </nc>
  </rcc>
  <rcv guid="{D9B90A86-BE39-4FED-8226-084809D277F3}" action="delete"/>
  <rdn rId="0" localSheetId="1" customView="1" name="Z_D9B90A86_BE39_4FED_8226_084809D277F3_.wvu.PrintArea" hidden="1" oldHidden="1">
    <formula>'программы '!$A$1:$F$777</formula>
    <oldFormula>'программы '!$A$1:$F$777</oldFormula>
  </rdn>
  <rdn rId="0" localSheetId="1" customView="1" name="Z_D9B90A86_BE39_4FED_8226_084809D277F3_.wvu.Rows" hidden="1" oldHidden="1">
    <formula>'программы '!$255:$259</formula>
    <oldFormula>'программы '!$255:$259</oldFormula>
  </rdn>
  <rdn rId="0" localSheetId="1" customView="1" name="Z_D9B90A86_BE39_4FED_8226_084809D277F3_.wvu.FilterData" hidden="1" oldHidden="1">
    <formula>'программы '!$A$1:$A$790</formula>
    <oldFormula>'программы '!$A$1:$A$790</oldFormula>
  </rdn>
  <rcv guid="{D9B90A86-BE39-4FED-8226-084809D277F3}" action="add"/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0" sId="1">
    <oc r="D834">
      <f>7636954.13+3681417.62</f>
    </oc>
    <nc r="D834">
      <f>7636954.13+3681417.62-33955.12</f>
    </nc>
  </rcc>
  <rrc rId="5501" sId="1" ref="A832:XFD832" action="insertRow"/>
  <rrc rId="5502" sId="1" ref="A832:XFD832" action="insertRow"/>
  <rrc rId="5503" sId="1" ref="A832:XFD832" action="insertRow"/>
  <rcc rId="5504" sId="1">
    <nc r="C834">
      <v>244</v>
    </nc>
  </rcc>
  <rcc rId="5505" sId="1">
    <nc r="C833">
      <v>240</v>
    </nc>
  </rcc>
  <rcc rId="5506" sId="1">
    <nc r="C832">
      <v>200</v>
    </nc>
  </rcc>
  <rcc rId="5507" sId="1">
    <nc r="B834" t="inlineStr">
      <is>
        <t>61 1 00 Л8770</t>
      </is>
    </nc>
  </rcc>
  <rcc rId="5508" sId="1">
    <nc r="B833" t="inlineStr">
      <is>
        <t>61 1 00 Л8770</t>
      </is>
    </nc>
  </rcc>
  <rcc rId="5509" sId="1">
    <nc r="B832" t="inlineStr">
      <is>
        <t>61 1 00 Л8770</t>
      </is>
    </nc>
  </rcc>
  <rcc rId="5510" sId="1">
    <nc r="A834" t="inlineStr">
      <is>
        <t xml:space="preserve">Прочая закупка товаров, работ и услуг </t>
      </is>
    </nc>
  </rcc>
  <rcc rId="5511" sId="1">
    <nc r="A833" t="inlineStr">
      <is>
        <t>Иные закупки товаров,работ и услуг для обеспечения государственных (муниципальных) нужд</t>
      </is>
    </nc>
  </rcc>
  <rcc rId="5512" sId="1">
    <nc r="A832" t="inlineStr">
      <is>
        <t>Закупка товаров, работ и услуг для обеспечения государственных (муниципальных) нужд</t>
      </is>
    </nc>
  </rcc>
  <rcc rId="5513" sId="1">
    <nc r="D833">
      <f>D834</f>
    </nc>
  </rcc>
  <rcc rId="5514" sId="1">
    <nc r="E833">
      <f>E834</f>
    </nc>
  </rcc>
  <rcc rId="5515" sId="1">
    <nc r="F833">
      <f>F834</f>
    </nc>
  </rcc>
  <rcc rId="5516" sId="1">
    <nc r="D832">
      <f>D833</f>
    </nc>
  </rcc>
  <rcc rId="5517" sId="1">
    <nc r="E832">
      <f>E833</f>
    </nc>
  </rcc>
  <rcc rId="5518" sId="1">
    <nc r="F832">
      <f>F833</f>
    </nc>
  </rcc>
  <rcc rId="5519" sId="1">
    <oc r="D831">
      <f>D835</f>
    </oc>
    <nc r="D831">
      <f>D835+D832</f>
    </nc>
  </rcc>
  <rcc rId="5520" sId="1">
    <oc r="E831">
      <f>E835</f>
    </oc>
    <nc r="E831">
      <f>E835+E832</f>
    </nc>
  </rcc>
  <rcc rId="5521" sId="1">
    <oc r="F831">
      <f>F835</f>
    </oc>
    <nc r="F831">
      <f>F835+F832</f>
    </nc>
  </rcc>
  <rcc rId="5522" sId="1" numFmtId="34">
    <nc r="D834">
      <v>33955.120000000003</v>
    </nc>
  </rcc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3" sId="1" numFmtId="34">
    <oc r="D637">
      <v>120964.19</v>
    </oc>
    <nc r="D637">
      <f>120964.19-55632</f>
    </nc>
  </rcc>
  <rcc rId="5524" sId="1" numFmtId="34">
    <oc r="D638">
      <v>80000</v>
    </oc>
    <nc r="D638">
      <f>80000+55632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5" sId="1" numFmtId="34">
    <oc r="E52">
      <v>11693270</v>
    </oc>
    <nc r="E52">
      <f>11693270-2013650</f>
    </nc>
  </rcc>
  <rcc rId="5526" sId="1" numFmtId="34">
    <oc r="F52">
      <v>7005140</v>
    </oc>
    <nc r="F52">
      <f>7005140-1249960</f>
    </nc>
  </rcc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34">
    <oc r="E529">
      <v>31215680.18</v>
    </oc>
    <nc r="E529">
      <v>0</v>
    </nc>
  </rcc>
  <rcc rId="5528" sId="1" numFmtId="34">
    <oc r="F529">
      <v>49042818.079999998</v>
    </oc>
    <nc r="F529">
      <v>0</v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7:C17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5529" sId="1">
    <oc r="D212">
      <v>850000</v>
    </oc>
    <nc r="D212">
      <f>850000-152500</f>
    </nc>
  </rcc>
  <rcv guid="{D9B90A86-BE39-4FED-8226-084809D277F3}" action="delete"/>
  <rdn rId="0" localSheetId="1" customView="1" name="Z_D9B90A86_BE39_4FED_8226_084809D277F3_.wvu.PrintArea" hidden="1" oldHidden="1">
    <formula>'программы '!$A$1:$F$931</formula>
    <oldFormula>'программы '!$A$1:$F$931</oldFormula>
  </rdn>
  <rdn rId="0" localSheetId="1" customView="1" name="Z_D9B90A86_BE39_4FED_8226_084809D277F3_.wvu.FilterData" hidden="1" oldHidden="1">
    <formula>'программы '!$C$1:$C$939</formula>
    <oldFormula>'программы '!$C$1:$C$939</oldFormula>
  </rdn>
  <rcv guid="{D9B90A86-BE39-4FED-8226-084809D277F3}" action="add"/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32" sId="1" numFmtId="34">
    <oc r="D437">
      <v>345925.05</v>
    </oc>
    <nc r="D437">
      <f>345925.05+1455320</f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33" sId="1">
    <oc r="D582">
      <f>75000+75000-75000</f>
    </oc>
    <nc r="D582">
      <f>75000+75000-75000-75000</f>
    </nc>
  </rcc>
  <rcc rId="5534" sId="1" numFmtId="34">
    <oc r="D715">
      <v>97856.79</v>
    </oc>
    <nc r="D715">
      <f>97856.79+270000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35" sId="1" numFmtId="34">
    <oc r="D604">
      <v>16244589.949999999</v>
    </oc>
    <nc r="D604">
      <f>16244589.95-580581.43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36" sId="1">
    <oc r="D824">
      <f>180000+100000+50000+146527.67</f>
    </oc>
    <nc r="D824">
      <f>180000+100000+50000+146527.67+100000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37" sId="1" numFmtId="34">
    <oc r="D867">
      <v>100000</v>
    </oc>
    <nc r="D867">
      <f>100000-40353.4</f>
    </nc>
  </rcc>
  <rcc rId="5538" sId="1" numFmtId="34">
    <oc r="D892">
      <v>100000</v>
    </oc>
    <nc r="D892">
      <f>100000-56143.1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96" sId="1" ref="A164:XFD164" action="insertRow">
    <undo index="0" exp="area" ref3D="1" dr="$A$255:$XFD$259" dn="Z_D9B90A86_BE39_4FED_8226_084809D277F3_.wvu.Rows" sId="1"/>
    <undo index="0" exp="area" ref3D="1" dr="$A$255:$XFD$259" dn="Z_30E81E54_DD45_4653_9DCD_548F6723F554_.wvu.Rows" sId="1"/>
  </rrc>
  <rrc rId="2997" sId="1" ref="A164:XFD164" action="insertRow">
    <undo index="0" exp="area" ref3D="1" dr="$A$256:$XFD$260" dn="Z_D9B90A86_BE39_4FED_8226_084809D277F3_.wvu.Rows" sId="1"/>
    <undo index="0" exp="area" ref3D="1" dr="$A$256:$XFD$260" dn="Z_30E81E54_DD45_4653_9DCD_548F6723F554_.wvu.Rows" sId="1"/>
  </rrc>
  <rrc rId="2998" sId="1" ref="A164:XFD164" action="insertRow">
    <undo index="0" exp="area" ref3D="1" dr="$A$257:$XFD$261" dn="Z_D9B90A86_BE39_4FED_8226_084809D277F3_.wvu.Rows" sId="1"/>
    <undo index="0" exp="area" ref3D="1" dr="$A$257:$XFD$261" dn="Z_30E81E54_DD45_4653_9DCD_548F6723F554_.wvu.Rows" sId="1"/>
  </rrc>
  <rrc rId="2999" sId="1" ref="A164:XFD164" action="insertRow">
    <undo index="0" exp="area" ref3D="1" dr="$A$258:$XFD$262" dn="Z_D9B90A86_BE39_4FED_8226_084809D277F3_.wvu.Rows" sId="1"/>
    <undo index="0" exp="area" ref3D="1" dr="$A$258:$XFD$262" dn="Z_30E81E54_DD45_4653_9DCD_548F6723F554_.wvu.Rows" sId="1"/>
  </rrc>
  <rrc rId="3000" sId="1" ref="A164:XFD164" action="insertRow">
    <undo index="0" exp="area" ref3D="1" dr="$A$259:$XFD$263" dn="Z_D9B90A86_BE39_4FED_8226_084809D277F3_.wvu.Rows" sId="1"/>
    <undo index="0" exp="area" ref3D="1" dr="$A$259:$XFD$263" dn="Z_30E81E54_DD45_4653_9DCD_548F6723F554_.wvu.Rows" sId="1"/>
  </rrc>
  <rcc rId="3001" sId="1" xfDxf="1" dxf="1">
    <nc r="B164" t="inlineStr">
      <is>
        <t>03 3 E2 00000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2" sId="1" xfDxf="1" dxf="1">
    <nc r="B165" t="inlineStr">
      <is>
        <t>03 3 E2 51712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3" sId="1" xfDxf="1" dxf="1">
    <nc r="B166" t="inlineStr">
      <is>
        <t>03 3 E2 51712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4" sId="1" xfDxf="1" dxf="1">
    <nc r="B167" t="inlineStr">
      <is>
        <t>03 3 E2 51712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5" sId="1" xfDxf="1" dxf="1">
    <nc r="B168" t="inlineStr">
      <is>
        <t>03 3 E2 51712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06" sId="1">
    <nc r="C168">
      <v>612</v>
    </nc>
  </rcc>
  <rcc rId="3007" sId="1">
    <nc r="C167">
      <v>610</v>
    </nc>
  </rcc>
  <rcc rId="3008" sId="1">
    <nc r="C166">
      <v>600</v>
    </nc>
  </rcc>
  <rcc rId="3009" sId="1" xfDxf="1" dxf="1">
    <nc r="A164" t="inlineStr">
      <is>
        <t>Мероприятия в рамках Федерального проекта "Успех каждого ребенка"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10" sId="1" xfDxf="1" dxf="1">
    <nc r="A165" t="inlineStr">
      <is>
    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организациях.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11" sId="1" xfDxf="1" dxf="1">
    <nc r="A166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12" sId="1" xfDxf="1" dxf="1">
    <nc r="A167" t="inlineStr">
      <is>
        <t>Субсидии бюджетным учреждениям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13" sId="1" xfDxf="1" dxf="1">
    <nc r="A168" t="inlineStr">
      <is>
        <t>Субсидии бюджетным учреждениям на иные цели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14" sId="1">
    <nc r="D167">
      <f>D168</f>
    </nc>
  </rcc>
  <rcc rId="3015" sId="1">
    <nc r="E167">
      <f>E168</f>
    </nc>
  </rcc>
  <rcc rId="3016" sId="1">
    <nc r="F167">
      <f>F168</f>
    </nc>
  </rcc>
  <rcc rId="3017" sId="1">
    <nc r="D166">
      <f>D167</f>
    </nc>
  </rcc>
  <rcc rId="3018" sId="1">
    <nc r="E166">
      <f>E167</f>
    </nc>
  </rcc>
  <rcc rId="3019" sId="1">
    <nc r="F166">
      <f>F167</f>
    </nc>
  </rcc>
  <rcc rId="3020" sId="1">
    <nc r="D165">
      <f>D166</f>
    </nc>
  </rcc>
  <rcc rId="3021" sId="1">
    <nc r="E165">
      <f>E166</f>
    </nc>
  </rcc>
  <rcc rId="3022" sId="1">
    <nc r="F165">
      <f>F166</f>
    </nc>
  </rcc>
  <rcc rId="3023" sId="1">
    <nc r="D164">
      <f>D165</f>
    </nc>
  </rcc>
  <rcc rId="3024" sId="1">
    <nc r="E164">
      <f>E165</f>
    </nc>
  </rcc>
  <rcc rId="3025" sId="1">
    <nc r="F164">
      <f>F165</f>
    </nc>
  </rcc>
  <rrc rId="3026" sId="1" ref="A163:XFD167" action="insertRow">
    <undo index="0" exp="area" ref3D="1" dr="$A$260:$XFD$264" dn="Z_D9B90A86_BE39_4FED_8226_084809D277F3_.wvu.Rows" sId="1"/>
    <undo index="0" exp="area" ref3D="1" dr="$A$260:$XFD$264" dn="Z_30E81E54_DD45_4653_9DCD_548F6723F554_.wvu.Rows" sId="1"/>
  </rrc>
  <rm rId="3027" sheetId="1" source="A169:XFD173" destination="A163:XFD167" sourceSheetId="1">
    <rfmt sheetId="1" xfDxf="1" sqref="A163:XFD163" start="0" length="0">
      <dxf>
        <font>
          <name val="Times New Roman"/>
          <scheme val="none"/>
        </font>
        <alignment vertical="center" readingOrder="0"/>
      </dxf>
    </rfmt>
    <rfmt sheetId="1" xfDxf="1" sqref="A164:XFD164" start="0" length="0">
      <dxf>
        <font>
          <name val="Times New Roman"/>
          <scheme val="none"/>
        </font>
        <alignment vertical="center" readingOrder="0"/>
      </dxf>
    </rfmt>
    <rfmt sheetId="1" xfDxf="1" sqref="A165:XFD165" start="0" length="0">
      <dxf>
        <font>
          <name val="Times New Roman"/>
          <scheme val="none"/>
        </font>
        <alignment vertical="center" readingOrder="0"/>
      </dxf>
    </rfmt>
    <rfmt sheetId="1" xfDxf="1" sqref="A166:XFD166" start="0" length="0">
      <dxf>
        <font>
          <name val="Times New Roman"/>
          <scheme val="none"/>
        </font>
        <alignment vertical="center" readingOrder="0"/>
      </dxf>
    </rfmt>
    <rfmt sheetId="1" xfDxf="1" sqref="A167:XFD167" start="0" length="0">
      <dxf>
        <font>
          <name val="Times New Roman"/>
          <scheme val="none"/>
        </font>
        <alignment vertical="center" readingOrder="0"/>
      </dxf>
    </rfmt>
    <rfmt sheetId="1" sqref="A163" start="0" length="0">
      <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B163" start="0" length="0">
      <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C163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6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6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4" start="0" length="0">
      <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B164" start="0" length="0">
      <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C164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4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64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64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5" start="0" length="0">
      <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B165" start="0" length="0">
      <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C165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5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65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65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6" start="0" length="0">
      <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B166" start="0" length="0">
      <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C166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6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66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66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7" start="0" length="0">
      <dxf>
        <numFmt numFmtId="30" formatCode="@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B167" start="0" length="0">
      <dxf>
        <numFmt numFmtId="165" formatCode="_(* #,##0.0_);_(* \(#,##0.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C167" start="0" length="0">
      <dxf>
        <numFmt numFmtId="166" formatCode="_(* #,##0_);_(* \(#,##0\);_(* &quot;-&quot;??_);_(@_)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7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167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67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28" sId="1" ref="A169:XFD169" action="deleteRow">
    <undo index="0" exp="area" ref3D="1" dr="$A$265:$XFD$269" dn="Z_D9B90A86_BE39_4FED_8226_084809D277F3_.wvu.Rows" sId="1"/>
    <undo index="0" exp="area" ref3D="1" dr="$A$265:$XFD$269" dn="Z_30E81E54_DD45_4653_9DCD_548F6723F554_.wvu.Rows" sId="1"/>
    <rfmt sheetId="1" xfDxf="1" sqref="A169:XFD169" start="0" length="0">
      <dxf>
        <font>
          <sz val="11"/>
          <name val="Times New Roman"/>
          <scheme val="none"/>
        </font>
        <alignment vertical="center" readingOrder="0"/>
      </dxf>
    </rfmt>
    <rfmt sheetId="1" sqref="B169" start="0" length="0">
      <dxf>
        <alignment horizontal="center" readingOrder="0"/>
      </dxf>
    </rfmt>
    <rfmt sheetId="1" sqref="C169" start="0" length="0">
      <dxf>
        <alignment horizontal="center" readingOrder="0"/>
      </dxf>
    </rfmt>
    <rfmt sheetId="1" sqref="D169" start="0" length="0">
      <dxf>
        <numFmt numFmtId="164" formatCode="_-* #,##0.00_р_._-;\-* #,##0.00_р_._-;_-* &quot;-&quot;??_р_._-;_-@_-"/>
      </dxf>
    </rfmt>
    <rfmt sheetId="1" sqref="E169" start="0" length="0">
      <dxf>
        <numFmt numFmtId="164" formatCode="_-* #,##0.00_р_._-;\-* #,##0.00_р_._-;_-* &quot;-&quot;??_р_._-;_-@_-"/>
      </dxf>
    </rfmt>
    <rfmt sheetId="1" sqref="F169" start="0" length="0">
      <dxf>
        <numFmt numFmtId="164" formatCode="_-* #,##0.00_р_._-;\-* #,##0.00_р_._-;_-* &quot;-&quot;??_р_._-;_-@_-"/>
      </dxf>
    </rfmt>
  </rrc>
  <rrc rId="3029" sId="1" ref="A169:XFD169" action="deleteRow">
    <undo index="0" exp="area" ref3D="1" dr="$A$264:$XFD$268" dn="Z_D9B90A86_BE39_4FED_8226_084809D277F3_.wvu.Rows" sId="1"/>
    <undo index="0" exp="area" ref3D="1" dr="$A$264:$XFD$268" dn="Z_30E81E54_DD45_4653_9DCD_548F6723F554_.wvu.Rows" sId="1"/>
    <rfmt sheetId="1" xfDxf="1" sqref="A169:XFD169" start="0" length="0">
      <dxf>
        <font>
          <sz val="11"/>
          <name val="Times New Roman"/>
          <scheme val="none"/>
        </font>
        <alignment vertical="center" readingOrder="0"/>
      </dxf>
    </rfmt>
    <rfmt sheetId="1" sqref="B169" start="0" length="0">
      <dxf>
        <alignment horizontal="center" readingOrder="0"/>
      </dxf>
    </rfmt>
    <rfmt sheetId="1" sqref="C169" start="0" length="0">
      <dxf>
        <alignment horizontal="center" readingOrder="0"/>
      </dxf>
    </rfmt>
    <rfmt sheetId="1" sqref="D169" start="0" length="0">
      <dxf>
        <numFmt numFmtId="164" formatCode="_-* #,##0.00_р_._-;\-* #,##0.00_р_._-;_-* &quot;-&quot;??_р_._-;_-@_-"/>
      </dxf>
    </rfmt>
    <rfmt sheetId="1" sqref="E169" start="0" length="0">
      <dxf>
        <numFmt numFmtId="164" formatCode="_-* #,##0.00_р_._-;\-* #,##0.00_р_._-;_-* &quot;-&quot;??_р_._-;_-@_-"/>
      </dxf>
    </rfmt>
    <rfmt sheetId="1" sqref="F169" start="0" length="0">
      <dxf>
        <numFmt numFmtId="164" formatCode="_-* #,##0.00_р_._-;\-* #,##0.00_р_._-;_-* &quot;-&quot;??_р_._-;_-@_-"/>
      </dxf>
    </rfmt>
  </rrc>
  <rrc rId="3030" sId="1" ref="A169:XFD169" action="deleteRow">
    <undo index="0" exp="area" ref3D="1" dr="$A$263:$XFD$267" dn="Z_D9B90A86_BE39_4FED_8226_084809D277F3_.wvu.Rows" sId="1"/>
    <undo index="0" exp="area" ref3D="1" dr="$A$263:$XFD$267" dn="Z_30E81E54_DD45_4653_9DCD_548F6723F554_.wvu.Rows" sId="1"/>
    <rfmt sheetId="1" xfDxf="1" sqref="A169:XFD169" start="0" length="0">
      <dxf>
        <font>
          <sz val="11"/>
          <name val="Times New Roman"/>
          <scheme val="none"/>
        </font>
        <alignment vertical="center" readingOrder="0"/>
      </dxf>
    </rfmt>
    <rfmt sheetId="1" sqref="B169" start="0" length="0">
      <dxf>
        <alignment horizontal="center" readingOrder="0"/>
      </dxf>
    </rfmt>
    <rfmt sheetId="1" sqref="C169" start="0" length="0">
      <dxf>
        <alignment horizontal="center" readingOrder="0"/>
      </dxf>
    </rfmt>
    <rfmt sheetId="1" sqref="D169" start="0" length="0">
      <dxf>
        <numFmt numFmtId="164" formatCode="_-* #,##0.00_р_._-;\-* #,##0.00_р_._-;_-* &quot;-&quot;??_р_._-;_-@_-"/>
      </dxf>
    </rfmt>
    <rfmt sheetId="1" sqref="E169" start="0" length="0">
      <dxf>
        <numFmt numFmtId="164" formatCode="_-* #,##0.00_р_._-;\-* #,##0.00_р_._-;_-* &quot;-&quot;??_р_._-;_-@_-"/>
      </dxf>
    </rfmt>
    <rfmt sheetId="1" sqref="F169" start="0" length="0">
      <dxf>
        <numFmt numFmtId="164" formatCode="_-* #,##0.00_р_._-;\-* #,##0.00_р_._-;_-* &quot;-&quot;??_р_._-;_-@_-"/>
      </dxf>
    </rfmt>
  </rrc>
  <rrc rId="3031" sId="1" ref="A169:XFD169" action="deleteRow">
    <undo index="0" exp="area" ref3D="1" dr="$A$262:$XFD$266" dn="Z_D9B90A86_BE39_4FED_8226_084809D277F3_.wvu.Rows" sId="1"/>
    <undo index="0" exp="area" ref3D="1" dr="$A$262:$XFD$266" dn="Z_30E81E54_DD45_4653_9DCD_548F6723F554_.wvu.Rows" sId="1"/>
    <rfmt sheetId="1" xfDxf="1" sqref="A169:XFD169" start="0" length="0">
      <dxf>
        <font>
          <sz val="11"/>
          <name val="Times New Roman"/>
          <scheme val="none"/>
        </font>
        <alignment vertical="center" readingOrder="0"/>
      </dxf>
    </rfmt>
    <rfmt sheetId="1" sqref="B169" start="0" length="0">
      <dxf>
        <alignment horizontal="center" readingOrder="0"/>
      </dxf>
    </rfmt>
    <rfmt sheetId="1" sqref="C169" start="0" length="0">
      <dxf>
        <alignment horizontal="center" readingOrder="0"/>
      </dxf>
    </rfmt>
    <rfmt sheetId="1" sqref="D169" start="0" length="0">
      <dxf>
        <numFmt numFmtId="164" formatCode="_-* #,##0.00_р_._-;\-* #,##0.00_р_._-;_-* &quot;-&quot;??_р_._-;_-@_-"/>
      </dxf>
    </rfmt>
    <rfmt sheetId="1" sqref="E169" start="0" length="0">
      <dxf>
        <numFmt numFmtId="164" formatCode="_-* #,##0.00_р_._-;\-* #,##0.00_р_._-;_-* &quot;-&quot;??_р_._-;_-@_-"/>
      </dxf>
    </rfmt>
    <rfmt sheetId="1" sqref="F169" start="0" length="0">
      <dxf>
        <numFmt numFmtId="164" formatCode="_-* #,##0.00_р_._-;\-* #,##0.00_р_._-;_-* &quot;-&quot;??_р_._-;_-@_-"/>
      </dxf>
    </rfmt>
  </rrc>
  <rrc rId="3032" sId="1" ref="A169:XFD169" action="deleteRow">
    <undo index="0" exp="area" ref3D="1" dr="$A$261:$XFD$265" dn="Z_D9B90A86_BE39_4FED_8226_084809D277F3_.wvu.Rows" sId="1"/>
    <undo index="0" exp="area" ref3D="1" dr="$A$261:$XFD$265" dn="Z_30E81E54_DD45_4653_9DCD_548F6723F554_.wvu.Rows" sId="1"/>
    <rfmt sheetId="1" xfDxf="1" sqref="A169:XFD169" start="0" length="0">
      <dxf>
        <font>
          <sz val="11"/>
          <name val="Times New Roman"/>
          <scheme val="none"/>
        </font>
        <alignment vertical="center" readingOrder="0"/>
      </dxf>
    </rfmt>
    <rfmt sheetId="1" sqref="B169" start="0" length="0">
      <dxf>
        <alignment horizontal="center" readingOrder="0"/>
      </dxf>
    </rfmt>
    <rfmt sheetId="1" sqref="C169" start="0" length="0">
      <dxf>
        <alignment horizontal="center" readingOrder="0"/>
      </dxf>
    </rfmt>
    <rfmt sheetId="1" sqref="D169" start="0" length="0">
      <dxf>
        <numFmt numFmtId="164" formatCode="_-* #,##0.00_р_._-;\-* #,##0.00_р_._-;_-* &quot;-&quot;??_р_._-;_-@_-"/>
      </dxf>
    </rfmt>
    <rfmt sheetId="1" sqref="E169" start="0" length="0">
      <dxf>
        <numFmt numFmtId="164" formatCode="_-* #,##0.00_р_._-;\-* #,##0.00_р_._-;_-* &quot;-&quot;??_р_._-;_-@_-"/>
      </dxf>
    </rfmt>
    <rfmt sheetId="1" sqref="F169" start="0" length="0">
      <dxf>
        <numFmt numFmtId="164" formatCode="_-* #,##0.00_р_._-;\-* #,##0.00_р_._-;_-* &quot;-&quot;??_р_._-;_-@_-"/>
      </dxf>
    </rfmt>
  </rrc>
  <rcc rId="3033" sId="1">
    <oc r="D150">
      <f>D151+D155+D159+D168</f>
    </oc>
    <nc r="D150">
      <f>D151+D155+D159+D168+D163</f>
    </nc>
  </rcc>
  <rcc rId="3034" sId="1">
    <oc r="E150">
      <f>E151+E155+E159+E168</f>
    </oc>
    <nc r="E150">
      <f>E151+E155+E159+E168+E163</f>
    </nc>
  </rcc>
  <rcc rId="3035" sId="1">
    <oc r="F150">
      <f>F151+F155+F159+F168</f>
    </oc>
    <nc r="F150">
      <f>F151+F155+F159+F168+F163</f>
    </nc>
  </rcc>
  <rfmt sheetId="1" sqref="A163:XFD167">
    <dxf>
      <fill>
        <patternFill patternType="solid"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'!$A$1:$F$782</formula>
    <oldFormula>'программы '!$A$1:$F$782</oldFormula>
  </rdn>
  <rdn rId="0" localSheetId="1" customView="1" name="Z_D9B90A86_BE39_4FED_8226_084809D277F3_.wvu.Rows" hidden="1" oldHidden="1">
    <formula>'программы '!$260:$264</formula>
    <oldFormula>'программы '!$260:$264</oldFormula>
  </rdn>
  <rdn rId="0" localSheetId="1" customView="1" name="Z_D9B90A86_BE39_4FED_8226_084809D277F3_.wvu.FilterData" hidden="1" oldHidden="1">
    <formula>'программы '!$A$1:$A$795</formula>
    <oldFormula>'программы '!$A$1:$A$795</oldFormula>
  </rdn>
  <rcv guid="{D9B90A86-BE39-4FED-8226-084809D277F3}" action="add"/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39" sId="1" numFmtId="34">
    <oc r="D377">
      <v>1252060.8600000001</v>
    </oc>
    <nc r="D377">
      <f>1252060.86-285902.58</f>
    </nc>
  </rcc>
  <rcc rId="5540" sId="1">
    <oc r="D774">
      <f>2874890.87-97542.24-141627.76+417670</f>
    </oc>
    <nc r="D774">
      <f>2874890.87-97542.24-141627.76+417670-50000</f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>
    <oc r="D252">
      <f>6128158.25-40062-2067.32</f>
    </oc>
    <nc r="D252">
      <f>6128158.25-40062-2067.32-500000</f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2" sId="1">
    <oc r="D765">
      <f>1300000+66344.57</f>
    </oc>
    <nc r="D765">
      <f>1300000+66344.57-1300000</f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3" sId="1">
    <oc r="D260">
      <f>4772643.2+40062+226164.2+100000+200000+1087386</f>
    </oc>
    <nc r="D260">
      <f>4772643.2+40062+226164.2+100000+200000+1087386+100000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907:XFD907">
    <dxf>
      <fill>
        <patternFill>
          <bgColor rgb="FFFF0000"/>
        </patternFill>
      </fill>
    </dxf>
  </rfmt>
  <rcc rId="5544" sId="1">
    <oc r="D907">
      <f>11409500-2850000-5850000-1147500</f>
    </oc>
    <nc r="D907">
      <f>11409500-2850000-5850000-1147500+0.89</f>
    </nc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5" sId="1" numFmtId="34">
    <oc r="D553">
      <v>2051966</v>
    </oc>
    <nc r="D553">
      <f>2051966+600000</f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6" sId="1">
    <oc r="D604">
      <f>16244589.95-580581.43</f>
    </oc>
    <nc r="D604">
      <f>16244589.95-580581.43-0.89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7" sId="1" numFmtId="34">
    <oc r="D769">
      <v>11005600</v>
    </oc>
    <nc r="D769">
      <f>11005600+950066.3</f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8" sId="1">
    <oc r="D139">
      <f>26819445.58+6672754.28</f>
    </oc>
    <nc r="D139">
      <f>26819445.58+6672754.28-56700.84</f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9" sId="1">
    <oc r="D824">
      <f>180000+100000+50000+146527.67+100000</f>
    </oc>
    <nc r="D824">
      <f>180000+100000+50000+146527.67+100000+100000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9" sId="1" ref="A205:XFD205" action="insertRow">
    <undo index="0" exp="area" ref3D="1" dr="$A$260:$XFD$264" dn="Z_D9B90A86_BE39_4FED_8226_084809D277F3_.wvu.Rows" sId="1"/>
    <undo index="0" exp="area" ref3D="1" dr="$A$260:$XFD$264" dn="Z_30E81E54_DD45_4653_9DCD_548F6723F554_.wvu.Rows" sId="1"/>
  </rrc>
  <rrc rId="3040" sId="1" ref="A205:XFD205" action="insertRow">
    <undo index="0" exp="area" ref3D="1" dr="$A$261:$XFD$265" dn="Z_D9B90A86_BE39_4FED_8226_084809D277F3_.wvu.Rows" sId="1"/>
    <undo index="0" exp="area" ref3D="1" dr="$A$261:$XFD$265" dn="Z_30E81E54_DD45_4653_9DCD_548F6723F554_.wvu.Rows" sId="1"/>
  </rrc>
  <rrc rId="3041" sId="1" ref="A205:XFD205" action="insertRow">
    <undo index="0" exp="area" ref3D="1" dr="$A$262:$XFD$266" dn="Z_D9B90A86_BE39_4FED_8226_084809D277F3_.wvu.Rows" sId="1"/>
    <undo index="0" exp="area" ref3D="1" dr="$A$262:$XFD$266" dn="Z_30E81E54_DD45_4653_9DCD_548F6723F554_.wvu.Rows" sId="1"/>
  </rrc>
  <rrc rId="3042" sId="1" ref="A205:XFD205" action="insertRow">
    <undo index="0" exp="area" ref3D="1" dr="$A$263:$XFD$267" dn="Z_D9B90A86_BE39_4FED_8226_084809D277F3_.wvu.Rows" sId="1"/>
    <undo index="0" exp="area" ref3D="1" dr="$A$263:$XFD$267" dn="Z_30E81E54_DD45_4653_9DCD_548F6723F554_.wvu.Rows" sId="1"/>
  </rrc>
  <rcc rId="3043" sId="1" xfDxf="1" s="1" dxf="1">
    <nc r="B205" t="inlineStr">
      <is>
        <t>03 5 00 R4941</t>
      </is>
    </nc>
    <n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44" sId="1" xfDxf="1" s="1" dxf="1">
    <nc r="B206" t="inlineStr">
      <is>
        <t>03 5 00 R4941</t>
      </is>
    </nc>
    <n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45" sId="1" xfDxf="1" s="1" dxf="1">
    <nc r="B207" t="inlineStr">
      <is>
        <t>03 5 00 R4941</t>
      </is>
    </nc>
    <n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46" sId="1" xfDxf="1" s="1" dxf="1">
    <nc r="B208" t="inlineStr">
      <is>
        <t>03 5 00 R4941</t>
      </is>
    </nc>
    <n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5:F208" start="0" length="2147483647">
    <dxf>
      <font>
        <b val="0"/>
      </font>
    </dxf>
  </rfmt>
  <rcc rId="3047" sId="1">
    <nc r="C208">
      <v>612</v>
    </nc>
  </rcc>
  <rcc rId="3048" sId="1">
    <nc r="C207">
      <v>610</v>
    </nc>
  </rcc>
  <rcc rId="3049" sId="1">
    <nc r="C206">
      <v>600</v>
    </nc>
  </rcc>
  <rcc rId="3050" sId="1" xfDxf="1" dxf="1">
    <nc r="A205" t="inlineStr">
      <is>
    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организация отдыха детей и их оздоровления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051" sId="1" xfDxf="1" dxf="1">
    <nc r="A206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052" sId="1" xfDxf="1" dxf="1">
    <nc r="A207" t="inlineStr">
      <is>
        <t>Субсидии бюджетным учреждениям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053" sId="1" xfDxf="1" dxf="1">
    <nc r="A208" t="inlineStr">
      <is>
        <t>Субсидии бюджетным учреждениям на иные цели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054" sId="1">
    <nc r="D207">
      <f>D208</f>
    </nc>
  </rcc>
  <rcc rId="3055" sId="1">
    <nc r="E207">
      <f>E208</f>
    </nc>
  </rcc>
  <rcc rId="3056" sId="1">
    <nc r="F207">
      <f>F208</f>
    </nc>
  </rcc>
  <rcc rId="3057" sId="1">
    <nc r="D206">
      <f>D207</f>
    </nc>
  </rcc>
  <rcc rId="3058" sId="1">
    <nc r="E206">
      <f>E207</f>
    </nc>
  </rcc>
  <rcc rId="3059" sId="1">
    <nc r="F206">
      <f>F207</f>
    </nc>
  </rcc>
  <rcc rId="3060" sId="1">
    <nc r="D205">
      <f>D206</f>
    </nc>
  </rcc>
  <rcc rId="3061" sId="1">
    <nc r="E205">
      <f>E206</f>
    </nc>
  </rcc>
  <rcc rId="3062" sId="1">
    <nc r="F205">
      <f>F206</f>
    </nc>
  </rcc>
  <rcc rId="3063" sId="1">
    <oc r="D204">
      <f>D209+D213</f>
    </oc>
    <nc r="D204">
      <f>D209+D213+D205</f>
    </nc>
  </rcc>
  <rcc rId="3064" sId="1">
    <oc r="E204">
      <f>E209+E213</f>
    </oc>
    <nc r="E204">
      <f>E209+E213+E205</f>
    </nc>
  </rcc>
  <rcc rId="3065" sId="1">
    <oc r="F204">
      <f>F209+F213</f>
    </oc>
    <nc r="F204">
      <f>F209+F213+F205</f>
    </nc>
  </rcc>
  <rcv guid="{D9B90A86-BE39-4FED-8226-084809D277F3}" action="delete"/>
  <rdn rId="0" localSheetId="1" customView="1" name="Z_D9B90A86_BE39_4FED_8226_084809D277F3_.wvu.PrintArea" hidden="1" oldHidden="1">
    <formula>'программы '!$A$1:$F$786</formula>
    <oldFormula>'программы '!$A$1:$F$786</oldFormula>
  </rdn>
  <rdn rId="0" localSheetId="1" customView="1" name="Z_D9B90A86_BE39_4FED_8226_084809D277F3_.wvu.Rows" hidden="1" oldHidden="1">
    <formula>'программы '!$264:$268</formula>
    <oldFormula>'программы '!$264:$268</oldFormula>
  </rdn>
  <rdn rId="0" localSheetId="1" customView="1" name="Z_D9B90A86_BE39_4FED_8226_084809D277F3_.wvu.FilterData" hidden="1" oldHidden="1">
    <formula>'программы '!$A$1:$A$799</formula>
    <oldFormula>'программы '!$A$1:$A$799</oldFormula>
  </rdn>
  <rcv guid="{D9B90A86-BE39-4FED-8226-084809D277F3}" action="add"/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50" sId="1" numFmtId="34">
    <oc r="D272">
      <v>1824193.22</v>
    </oc>
    <nc r="D272">
      <f>1824193.22+955150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51" sId="1" numFmtId="34">
    <oc r="E111">
      <v>0</v>
    </oc>
    <nc r="E111">
      <v>3000000</v>
    </nc>
  </rcc>
  <rcc rId="5552" sId="1" numFmtId="34">
    <oc r="D135">
      <v>84058.34</v>
    </oc>
    <nc r="D135">
      <f>84058.34-56700.84</f>
    </nc>
  </rcc>
  <rcc rId="5553" sId="1">
    <oc r="D139">
      <f>26819445.58+6672754.28-56700.84</f>
    </oc>
    <nc r="D139">
      <f>26819445.58+6672754.28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54" sId="1">
    <oc r="F70">
      <f>F83+F87+F103+F108+F154+F158+F119+F127+F140+F131+F123+F95+F115+F149+F91+F75+F99+F79+F71</f>
    </oc>
    <nc r="F70">
      <f>F83+F87+F103+F108+F154+F158+F119+F127+F140+F131+F123+F95+F115+F149+F91+F75+F99+F79+F71</f>
    </nc>
  </rcc>
  <rcc rId="5555" sId="1">
    <oc r="E70">
      <f>E83+E87+E103+E108+E154+E158+E119+E127+E140+E131+E123+E95+E115+E149+E91+E75+E99+E79+E71</f>
    </oc>
    <nc r="E70">
      <f>E83+E87+E103+E108+E154+E158+E119+E127+E140+E131+E123+E95+E115+E149+E91+E75+E99+E79+E71</f>
    </nc>
  </rcc>
  <rcc rId="5556" sId="1">
    <oc r="D636">
      <f>3699216.81-166161.24</f>
    </oc>
    <nc r="D636">
      <f>3699216.81-166161.24-608712.36</f>
    </nc>
  </rcc>
  <rcc rId="5557" sId="1">
    <oc r="D639">
      <f>1117163.47-50180.7</f>
    </oc>
    <nc r="D639">
      <f>1117163.47-50180.7-183831.13</f>
    </nc>
  </rcc>
  <rcv guid="{D9B90A86-BE39-4FED-8226-084809D277F3}" action="delete"/>
  <rdn rId="0" localSheetId="1" customView="1" name="Z_D9B90A86_BE39_4FED_8226_084809D277F3_.wvu.PrintArea" hidden="1" oldHidden="1">
    <formula>'программы '!$A$1:$F$931</formula>
    <oldFormula>'программы '!$A$1:$F$931</oldFormula>
  </rdn>
  <rdn rId="0" localSheetId="1" customView="1" name="Z_D9B90A86_BE39_4FED_8226_084809D277F3_.wvu.FilterData" hidden="1" oldHidden="1">
    <formula>'программы '!$C$1:$C$939</formula>
    <oldFormula>'программы '!$C$1:$C$939</oldFormula>
  </rdn>
  <rcv guid="{D9B90A86-BE39-4FED-8226-084809D277F3}" action="add"/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60" sId="1">
    <oc r="E929">
      <f>16629257.6-97936.02</f>
    </oc>
    <nc r="E929">
      <f>16629257.6-97936.02-3000000</f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61" sId="1">
    <oc r="D701">
      <f>8457235.47+452891.15+307495-5000-50000</f>
    </oc>
    <nc r="D701">
      <f>8457235.47+452891.15+307495-5000-50000-94296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907:XFD907">
    <dxf>
      <fill>
        <patternFill>
          <bgColor theme="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J1048576">
    <dxf>
      <fill>
        <patternFill>
          <bgColor theme="0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'!$A$1:$F$931</formula>
    <oldFormula>'программы '!$A$1:$F$931</oldFormula>
  </rdn>
  <rdn rId="0" localSheetId="1" customView="1" name="Z_D9B90A86_BE39_4FED_8226_084809D277F3_.wvu.FilterData" hidden="1" oldHidden="1">
    <formula>'программы '!$C$1:$C$939</formula>
    <oldFormula>'программы '!$C$1:$C$939</oldFormula>
  </rdn>
  <rcv guid="{D9B90A86-BE39-4FED-8226-084809D277F3}" action="add"/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64" sId="1">
    <oc r="D720">
      <f>460000+140000+50000</f>
    </oc>
    <nc r="D720">
      <f>460000+140000+50000+20000</f>
    </nc>
  </rcc>
  <rcc rId="5565" sId="1">
    <oc r="D715">
      <f>97856.79+270000</f>
    </oc>
    <nc r="D715">
      <f>97856.79+270000-20000</f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2" sId="1">
    <oc r="B304" t="inlineStr">
      <is>
        <t>12 4 00 80100</t>
      </is>
    </oc>
    <nc r="B304" t="inlineStr">
      <is>
        <t>12 4 00 80010</t>
      </is>
    </nc>
  </rcc>
  <rcc rId="6913" sId="1">
    <oc r="B305" t="inlineStr">
      <is>
        <t>12 4 00 80100</t>
      </is>
    </oc>
    <nc r="B305" t="inlineStr">
      <is>
        <t>12 4 00 80010</t>
      </is>
    </nc>
  </rcc>
  <rcc rId="6914" sId="1">
    <oc r="B306" t="inlineStr">
      <is>
        <t>12 4 00 80100</t>
      </is>
    </oc>
    <nc r="B306" t="inlineStr">
      <is>
        <t>12 4 00 80010</t>
      </is>
    </nc>
  </rcc>
  <rcc rId="6915" sId="1">
    <oc r="B307" t="inlineStr">
      <is>
        <t>12 4 00 80100</t>
      </is>
    </oc>
    <nc r="B307" t="inlineStr">
      <is>
        <t>12 4 00 80010</t>
      </is>
    </nc>
  </rcc>
  <rcc rId="6916" sId="1">
    <oc r="B308" t="inlineStr">
      <is>
        <t>12 4 00 80100</t>
      </is>
    </oc>
    <nc r="B308" t="inlineStr">
      <is>
        <t>12 4 00 80010</t>
      </is>
    </nc>
  </rcc>
  <rcc rId="6917" sId="1">
    <oc r="B309" t="inlineStr">
      <is>
        <t>12 4 00 80100</t>
      </is>
    </oc>
    <nc r="B309" t="inlineStr">
      <is>
        <t>12 4 00 80010</t>
      </is>
    </nc>
  </rcc>
  <rcc rId="6918" sId="1">
    <oc r="B310" t="inlineStr">
      <is>
        <t>12 4 00 80100</t>
      </is>
    </oc>
    <nc r="B310" t="inlineStr">
      <is>
        <t>12 4 00 80010</t>
      </is>
    </nc>
  </rcc>
  <rcc rId="6919" sId="1">
    <oc r="B311" t="inlineStr">
      <is>
        <t>12 4 00 80100</t>
      </is>
    </oc>
    <nc r="B311" t="inlineStr">
      <is>
        <t>12 4 00 80010</t>
      </is>
    </nc>
  </rcc>
  <rcc rId="6920" sId="1">
    <oc r="B312" t="inlineStr">
      <is>
        <t>12 4 00 80100</t>
      </is>
    </oc>
    <nc r="B312" t="inlineStr">
      <is>
        <t>12 4 00 80010</t>
      </is>
    </nc>
  </rcc>
  <rcc rId="6921" sId="1">
    <oc r="B313" t="inlineStr">
      <is>
        <t>12 4 00 80100</t>
      </is>
    </oc>
    <nc r="B313" t="inlineStr">
      <is>
        <t>12 4 00 80010</t>
      </is>
    </nc>
  </rcc>
  <rcc rId="6922" sId="1">
    <oc r="B314" t="inlineStr">
      <is>
        <t>12 4 00 80100</t>
      </is>
    </oc>
    <nc r="B314" t="inlineStr">
      <is>
        <t>12 4 00 80010</t>
      </is>
    </nc>
  </rcc>
  <rcc rId="6923" sId="1">
    <oc r="A309" t="inlineStr">
      <is>
        <t>Взносы по обязательному социальному страхованию на выплаты денежного содержания и иные выплаты работникам казенных учреждений</t>
      </is>
    </oc>
    <nc r="A30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924" sId="1">
    <oc r="A308" t="inlineStr">
      <is>
        <t>Иные выплаты персоналу казенных учреждений, за исключением фонда оплаты труда</t>
      </is>
    </oc>
    <nc r="A308" t="inlineStr">
      <is>
        <t>Иные выплаты персоналу государственных (муниципальных) органов, за исключением фонда оплаты труда</t>
      </is>
    </nc>
  </rcc>
  <rcc rId="6925" sId="1">
    <oc r="A306" t="inlineStr">
      <is>
        <t>Расходы на выплату персоналу казенных учреждений</t>
      </is>
    </oc>
    <nc r="A306" t="inlineStr">
      <is>
        <t>Расходы на выплаты персоналу государственных (муниципальных) органов</t>
      </is>
    </nc>
  </rcc>
  <rcc rId="6926" sId="1">
    <oc r="A304" t="inlineStr">
      <is>
        <t>Расходы на обеспечение деятельности подведомственных учреждений</t>
      </is>
    </oc>
    <nc r="A304" t="inlineStr">
      <is>
        <t>Расходы на содержание муниципальных органов и обеспечение их функций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'!$A$1:$F$633</formula>
    <oldFormula>'программы '!$A$1:$F$633</oldFormula>
  </rdn>
  <rdn rId="0" localSheetId="1" customView="1" name="Z_D9B90A86_BE39_4FED_8226_084809D277F3_.wvu.FilterData" hidden="1" oldHidden="1">
    <formula>'программы '!$A$11:$F$244</formula>
    <oldFormula>'программы '!$C$1:$C$641</oldFormula>
  </rdn>
  <rcv guid="{D9B90A86-BE39-4FED-8226-084809D277F3}" action="add"/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29" sId="1">
    <oc r="E63">
      <f>152182097.92-450000</f>
    </oc>
    <nc r="E63">
      <f>152182097.92-450000-7916802</f>
    </nc>
  </rcc>
  <rcc rId="6930" sId="1">
    <oc r="F63">
      <f>167670282.38-450000</f>
    </oc>
    <nc r="F63">
      <f>167670282.38-450000-18500000</f>
    </nc>
  </rcc>
  <rcc rId="6931" sId="1" numFmtId="34">
    <oc r="E196">
      <v>1200000</v>
    </oc>
    <nc r="E196">
      <f>1200000+7916802</f>
    </nc>
  </rcc>
  <rcc rId="6932" sId="1" numFmtId="34">
    <oc r="F196">
      <v>1200000</v>
    </oc>
    <nc r="F196">
      <f>1200000+18500000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XFD208">
    <dxf>
      <fill>
        <patternFill patternType="solid">
          <bgColor theme="6" tint="0.59999389629810485"/>
        </patternFill>
      </fill>
    </dxf>
  </rfmt>
  <rrc rId="3069" sId="1" ref="A53:XFD53" action="insertRow">
    <undo index="0" exp="area" ref3D="1" dr="$A$264:$XFD$268" dn="Z_D9B90A86_BE39_4FED_8226_084809D277F3_.wvu.Rows" sId="1"/>
    <undo index="0" exp="area" ref3D="1" dr="$A$264:$XFD$268" dn="Z_30E81E54_DD45_4653_9DCD_548F6723F554_.wvu.Rows" sId="1"/>
  </rrc>
  <rrc rId="3070" sId="1" ref="A53:XFD53" action="insertRow">
    <undo index="0" exp="area" ref3D="1" dr="$A$265:$XFD$269" dn="Z_D9B90A86_BE39_4FED_8226_084809D277F3_.wvu.Rows" sId="1"/>
    <undo index="0" exp="area" ref3D="1" dr="$A$265:$XFD$269" dn="Z_30E81E54_DD45_4653_9DCD_548F6723F554_.wvu.Rows" sId="1"/>
  </rrc>
  <rrc rId="3071" sId="1" ref="A53:XFD53" action="insertRow">
    <undo index="0" exp="area" ref3D="1" dr="$A$266:$XFD$270" dn="Z_D9B90A86_BE39_4FED_8226_084809D277F3_.wvu.Rows" sId="1"/>
    <undo index="0" exp="area" ref3D="1" dr="$A$266:$XFD$270" dn="Z_30E81E54_DD45_4653_9DCD_548F6723F554_.wvu.Rows" sId="1"/>
  </rrc>
  <rrc rId="3072" sId="1" ref="A53:XFD53" action="insertRow">
    <undo index="0" exp="area" ref3D="1" dr="$A$267:$XFD$271" dn="Z_D9B90A86_BE39_4FED_8226_084809D277F3_.wvu.Rows" sId="1"/>
    <undo index="0" exp="area" ref3D="1" dr="$A$267:$XFD$271" dn="Z_30E81E54_DD45_4653_9DCD_548F6723F554_.wvu.Rows" sId="1"/>
  </rrc>
  <rcc rId="3073" sId="1">
    <nc r="C56">
      <v>612</v>
    </nc>
  </rcc>
  <rcc rId="3074" sId="1">
    <nc r="C55">
      <v>610</v>
    </nc>
  </rcc>
  <rcc rId="3075" sId="1">
    <nc r="C54">
      <v>600</v>
    </nc>
  </rcc>
  <rcc rId="3076" sId="1" xfDxf="1" dxf="1">
    <nc r="B56" t="inlineStr">
      <is>
        <t>03 1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77" sId="1" xfDxf="1" dxf="1">
    <nc r="B55" t="inlineStr">
      <is>
        <t>03 1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78" sId="1" xfDxf="1" dxf="1">
    <nc r="B54" t="inlineStr">
      <is>
        <t>03 1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79" sId="1" xfDxf="1" dxf="1">
    <nc r="B53" t="inlineStr">
      <is>
        <t>03 1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0" sId="1" xfDxf="1" dxf="1">
    <nc r="A53" t="inlineStr">
      <is>
    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1" sId="1" xfDxf="1" dxf="1">
    <nc r="A54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2" sId="1" xfDxf="1" dxf="1">
    <nc r="A55" t="inlineStr">
      <is>
        <t>Субсидии бюджетным учреждениям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3" sId="1" xfDxf="1" dxf="1">
    <nc r="A56" t="inlineStr">
      <is>
        <t>Субсидии бюджетным учреждениям на  иные цели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4" sId="1">
    <nc r="D55">
      <f>D56</f>
    </nc>
  </rcc>
  <rcc rId="3085" sId="1">
    <nc r="E55">
      <f>E56</f>
    </nc>
  </rcc>
  <rcc rId="3086" sId="1">
    <nc r="F55">
      <f>F56</f>
    </nc>
  </rcc>
  <rcc rId="3087" sId="1">
    <nc r="D54">
      <f>D55</f>
    </nc>
  </rcc>
  <rcc rId="3088" sId="1">
    <nc r="E54">
      <f>E55</f>
    </nc>
  </rcc>
  <rcc rId="3089" sId="1">
    <nc r="F54">
      <f>F55</f>
    </nc>
  </rcc>
  <rcc rId="3090" sId="1">
    <nc r="D53">
      <f>D54</f>
    </nc>
  </rcc>
  <rcc rId="3091" sId="1">
    <nc r="E53">
      <f>E54</f>
    </nc>
  </rcc>
  <rcc rId="3092" sId="1">
    <nc r="F53">
      <f>F54</f>
    </nc>
  </rcc>
  <rcc rId="3093" sId="1">
    <oc r="D40">
      <f>D41+D45+D61+D66+D49+D57</f>
    </oc>
    <nc r="D40">
      <f>D41+D45+D61+D66+D49+D57+D53</f>
    </nc>
  </rcc>
  <rcc rId="3094" sId="1">
    <oc r="E40">
      <f>E41+E45+E61+E66+E49+E57</f>
    </oc>
    <nc r="E40">
      <f>E41+E45+E61+E66+E49+E57+E53</f>
    </nc>
  </rcc>
  <rcc rId="3095" sId="1">
    <oc r="F40">
      <f>F41+F45+F61+F66+F49+F57</f>
    </oc>
    <nc r="F40">
      <f>F41+F45+F61+F66+F49+F57+F53</f>
    </nc>
  </rcc>
  <rfmt sheetId="1" sqref="A53:XFD56">
    <dxf>
      <fill>
        <patternFill patternType="solid">
          <bgColor theme="6" tint="0.59999389629810485"/>
        </patternFill>
      </fill>
    </dxf>
  </rfmt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2:F12">
    <dxf>
      <alignment horizontal="center" readingOrder="0"/>
    </dxf>
  </rfmt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8" start="0" length="0">
    <dxf>
      <numFmt numFmtId="3" formatCode="#,##0"/>
    </dxf>
  </rfmt>
  <rfmt sheetId="1" sqref="B298">
    <dxf>
      <numFmt numFmtId="30" formatCode="@"/>
    </dxf>
  </rfmt>
  <rcc rId="6936" sId="1" numFmtId="30">
    <oc r="B298" t="inlineStr">
      <is>
        <t>12 200 S0310</t>
      </is>
    </oc>
    <nc r="B298" t="inlineStr">
      <is>
        <t>12 2 00 80310</t>
      </is>
    </nc>
  </rcc>
  <rfmt sheetId="1" sqref="B297" start="0" length="0">
    <dxf>
      <numFmt numFmtId="3" formatCode="#,##0"/>
    </dxf>
  </rfmt>
  <rfmt sheetId="1" sqref="B295:B297">
    <dxf>
      <numFmt numFmtId="30" formatCode="@"/>
    </dxf>
  </rfmt>
  <rcc rId="6937" sId="1">
    <oc r="B295" t="inlineStr">
      <is>
        <t>12 200 S0310</t>
      </is>
    </oc>
    <nc r="B295" t="inlineStr">
      <is>
        <t>12 2 00 80310</t>
      </is>
    </nc>
  </rcc>
  <rcc rId="6938" sId="1">
    <oc r="B296" t="inlineStr">
      <is>
        <t>12 200 S0310</t>
      </is>
    </oc>
    <nc r="B296" t="inlineStr">
      <is>
        <t>12 2 00 80310</t>
      </is>
    </nc>
  </rcc>
  <rcc rId="6939" sId="1" numFmtId="30">
    <oc r="B297" t="inlineStr">
      <is>
        <t>12 200 S0310</t>
      </is>
    </oc>
    <nc r="B297" t="inlineStr">
      <is>
        <t>12 2 00 80310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'!$A$1:$F$633</formula>
    <oldFormula>'программы '!$A$1:$F$633</oldFormula>
  </rdn>
  <rdn rId="0" localSheetId="1" customView="1" name="Z_D9B90A86_BE39_4FED_8226_084809D277F3_.wvu.FilterData" hidden="1" oldHidden="1">
    <formula>'программы '!$A$11:$F$244</formula>
    <oldFormula>'программы '!$A$11:$F$244</oldFormula>
  </rdn>
  <rcv guid="{D9B90A86-BE39-4FED-8226-084809D277F3}" action="add"/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2" sId="1" xfDxf="1" dxf="1">
    <oc r="A358" t="inlineStr">
      <is>
        <t>Мероприятия по благоустройству территорий и приобретение уборочной и коммунальной техники</t>
      </is>
    </oc>
    <nc r="A358" t="inlineStr">
      <is>
        <t>Мероприятия по повышению общего уровня благоустройства территорий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358">
    <dxf>
      <alignment vertical="center" readingOrder="0"/>
    </dxf>
  </rfmt>
  <rcv guid="{D9B90A86-BE39-4FED-8226-084809D277F3}" action="delete"/>
  <rdn rId="0" localSheetId="1" customView="1" name="Z_D9B90A86_BE39_4FED_8226_084809D277F3_.wvu.PrintArea" hidden="1" oldHidden="1">
    <formula>'программы '!$A$1:$F$633</formula>
    <oldFormula>'программы '!$A$1:$F$633</oldFormula>
  </rdn>
  <rdn rId="0" localSheetId="1" customView="1" name="Z_D9B90A86_BE39_4FED_8226_084809D277F3_.wvu.FilterData" hidden="1" oldHidden="1">
    <formula>'программы '!$A$11:$F$244</formula>
    <oldFormula>'программы '!$A$11:$F$244</oldFormula>
  </rdn>
  <rcv guid="{D9B90A86-BE39-4FED-8226-084809D277F3}" action="add"/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9B90A86-BE39-4FED-8226-084809D277F3}" action="delete"/>
  <rdn rId="0" localSheetId="1" customView="1" name="Z_D9B90A86_BE39_4FED_8226_084809D277F3_.wvu.PrintArea" hidden="1" oldHidden="1">
    <formula>'программы '!$A$1:$F$633</formula>
    <oldFormula>'программы '!$A$1:$F$633</oldFormula>
  </rdn>
  <rdn rId="0" localSheetId="1" customView="1" name="Z_D9B90A86_BE39_4FED_8226_084809D277F3_.wvu.FilterData" hidden="1" oldHidden="1">
    <formula>'программы '!$A$11:$F$244</formula>
    <oldFormula>'программы '!$A$11:$F$244</oldFormula>
  </rdn>
  <rcv guid="{D9B90A86-BE39-4FED-8226-084809D277F3}" action="add"/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7" sId="1">
    <oc r="A241" t="inlineStr">
      <is>
        <t>Возмещение МУП "АТП "Плесецкое" фактически понесенных затрат на обеспечение бесплатного проезда в автомобильном транспорте общего пользования по городскому муниципальному маршруту гражданам, проживающим на территории Плесецкого муниципального округа и достигшим возраста 75 лет и старше, не относящимся к отдельным категориям граждан, установленным статьями 2 и 4 Федерального закона от 12.01.1995 №5-ФЗ "О ветеранах" в 2024 году</t>
      </is>
    </oc>
    <nc r="A241" t="inlineStr">
      <is>
        <t>Возмещение МУП "АТП "Плесецкое" фактически понесенных затрат на обеспечение бесплатного проезда в автомобильном транспорте общего пользования по городскому муниципальному маршруту гражданам, проживающим на территории Плесецкого муниципального округа и достигшим возраста 75 лет и старше, не относящимся к отдельным категориям граждан, установленным статьями 2 и 4 Федерального закона от 12.01.1995 №5-ФЗ "О ветеранах" в 2025 году</t>
      </is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948" sId="1" ref="A28:XFD28" action="insertRow">
    <undo index="0" exp="area" ref3D="1" dr="$A$202:$XFD$206" dn="Z_30E81E54_DD45_4653_9DCD_548F6723F554_.wvu.Rows" sId="1"/>
  </rrc>
  <rrc rId="6949" sId="1" ref="A28:XFD28" action="insertRow">
    <undo index="0" exp="area" ref3D="1" dr="$A$203:$XFD$207" dn="Z_30E81E54_DD45_4653_9DCD_548F6723F554_.wvu.Rows" sId="1"/>
  </rrc>
  <rrc rId="6950" sId="1" ref="A28:XFD28" action="insertRow">
    <undo index="0" exp="area" ref3D="1" dr="$A$204:$XFD$208" dn="Z_30E81E54_DD45_4653_9DCD_548F6723F554_.wvu.Rows" sId="1"/>
  </rrc>
  <rrc rId="6951" sId="1" ref="A28:XFD28" action="deleteRow">
    <undo index="0" exp="area" ref3D="1" dr="$A$205:$XFD$209" dn="Z_30E81E54_DD45_4653_9DCD_548F6723F554_.wvu.Rows" sId="1"/>
    <rfmt sheetId="1" xfDxf="1" sqref="A28:XFD28" start="0" length="0">
      <dxf>
        <font>
          <name val="Times New Roman"/>
          <scheme val="none"/>
        </font>
      </dxf>
    </rfmt>
    <rfmt sheetId="1" sqref="A28" start="0" length="0">
      <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</border>
      </dxf>
    </rfmt>
    <rfmt sheetId="1" sqref="B28" start="0" length="0">
      <dxf>
        <numFmt numFmtId="30" formatCode="@"/>
        <alignment horizontal="center" vertical="center" readingOrder="0"/>
        <border outline="0">
          <bottom style="thin">
            <color indexed="64"/>
          </bottom>
        </border>
      </dxf>
    </rfmt>
    <rfmt sheetId="1" sqref="C28" start="0" length="0">
      <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28" start="0" length="0">
      <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28" start="0" length="0">
      <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8" start="0" length="0">
      <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" start="0" length="0">
      <dxf>
        <fill>
          <patternFill patternType="solid">
            <bgColor theme="0"/>
          </patternFill>
        </fill>
      </dxf>
    </rfmt>
    <rfmt sheetId="1" sqref="H28" start="0" length="0">
      <dxf>
        <fill>
          <patternFill patternType="solid">
            <bgColor theme="0"/>
          </patternFill>
        </fill>
      </dxf>
    </rfmt>
    <rfmt sheetId="1" sqref="I28" start="0" length="0">
      <dxf>
        <fill>
          <patternFill patternType="solid">
            <bgColor theme="0"/>
          </patternFill>
        </fill>
      </dxf>
    </rfmt>
    <rfmt sheetId="1" sqref="J28" start="0" length="0">
      <dxf>
        <fill>
          <patternFill patternType="solid">
            <bgColor theme="0"/>
          </patternFill>
        </fill>
      </dxf>
    </rfmt>
  </rrc>
  <rrc rId="6952" sId="1" ref="A28:XFD28" action="insertRow">
    <undo index="0" exp="area" ref3D="1" dr="$A$204:$XFD$208" dn="Z_30E81E54_DD45_4653_9DCD_548F6723F554_.wvu.Rows" sId="1"/>
  </rrc>
  <rrc rId="6953" sId="1" ref="A28:XFD28" action="insertRow">
    <undo index="0" exp="area" ref3D="1" dr="$A$205:$XFD$209" dn="Z_30E81E54_DD45_4653_9DCD_548F6723F554_.wvu.Rows" sId="1"/>
  </rrc>
  <rrc rId="6954" sId="1" ref="A28:XFD28" action="insertRow">
    <undo index="0" exp="area" ref3D="1" dr="$A$206:$XFD$210" dn="Z_30E81E54_DD45_4653_9DCD_548F6723F554_.wvu.Rows" sId="1"/>
  </rrc>
  <rrc rId="6955" sId="1" ref="A28:XFD28" action="insertRow">
    <undo index="0" exp="area" ref3D="1" dr="$A$207:$XFD$211" dn="Z_30E81E54_DD45_4653_9DCD_548F6723F554_.wvu.Rows" sId="1"/>
  </rrc>
  <rrc rId="6956" sId="1" ref="A28:XFD28" action="insertRow">
    <undo index="0" exp="area" ref3D="1" dr="$A$208:$XFD$212" dn="Z_30E81E54_DD45_4653_9DCD_548F6723F554_.wvu.Rows" sId="1"/>
  </rrc>
  <rrc rId="6957" sId="1" ref="A29:XFD29" action="insertRow">
    <undo index="0" exp="area" ref3D="1" dr="$A$209:$XFD$213" dn="Z_30E81E54_DD45_4653_9DCD_548F6723F554_.wvu.Rows" sId="1"/>
  </rrc>
  <rrc rId="6958" sId="1" ref="A29:XFD29" action="insertRow">
    <undo index="0" exp="area" ref3D="1" dr="$A$210:$XFD$214" dn="Z_30E81E54_DD45_4653_9DCD_548F6723F554_.wvu.Rows" sId="1"/>
  </rrc>
  <rrc rId="6959" sId="1" ref="A28:XFD28" action="insertRow">
    <undo index="0" exp="area" ref3D="1" dr="$A$211:$XFD$215" dn="Z_30E81E54_DD45_4653_9DCD_548F6723F554_.wvu.Rows" sId="1"/>
  </rrc>
  <rfmt sheetId="1" sqref="A36" start="0" length="0">
    <dxf>
      <border>
        <bottom style="thin">
          <color indexed="64"/>
        </bottom>
      </border>
    </dxf>
  </rfmt>
  <rfmt sheetId="1" sqref="A28:A36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6960" sId="1">
    <nc r="C31" t="inlineStr">
      <is>
        <t>244</t>
      </is>
    </nc>
  </rcc>
  <rcc rId="6961" sId="1">
    <nc r="C30" t="inlineStr">
      <is>
        <t>240</t>
      </is>
    </nc>
  </rcc>
  <rcc rId="6962" sId="1">
    <nc r="C29" t="inlineStr">
      <is>
        <t>200</t>
      </is>
    </nc>
  </rcc>
  <rcc rId="6963" sId="1">
    <nc r="C35" t="inlineStr">
      <is>
        <t>244</t>
      </is>
    </nc>
  </rcc>
  <rcc rId="6964" sId="1">
    <nc r="C34" t="inlineStr">
      <is>
        <t>240</t>
      </is>
    </nc>
  </rcc>
  <rcc rId="6965" sId="1">
    <nc r="C33" t="inlineStr">
      <is>
        <t>200</t>
      </is>
    </nc>
  </rcc>
  <rrc rId="6966" sId="1" ref="A37:XFD37" action="insertRow">
    <undo index="0" exp="area" ref3D="1" dr="$A$212:$XFD$216" dn="Z_30E81E54_DD45_4653_9DCD_548F6723F554_.wvu.Rows" sId="1"/>
  </rrc>
  <rrc rId="6967" sId="1" ref="A37:XFD37" action="insertRow">
    <undo index="0" exp="area" ref3D="1" dr="$A$213:$XFD$217" dn="Z_30E81E54_DD45_4653_9DCD_548F6723F554_.wvu.Rows" sId="1"/>
  </rrc>
  <rcc rId="6968" sId="1">
    <nc r="C39" t="inlineStr">
      <is>
        <t>870</t>
      </is>
    </nc>
  </rcc>
  <rcc rId="6969" sId="1">
    <nc r="C38" t="inlineStr">
      <is>
        <t>800</t>
      </is>
    </nc>
  </rcc>
  <rrc rId="6970" sId="1" ref="A37:XFD37" action="deleteRow">
    <undo index="0" exp="area" ref3D="1" dr="$A$214:$XFD$218" dn="Z_30E81E54_DD45_4653_9DCD_548F6723F554_.wvu.Rows" sId="1"/>
    <rfmt sheetId="1" xfDxf="1" sqref="A37:XFD37" start="0" length="0">
      <dxf>
        <font>
          <name val="Times New Roman"/>
          <scheme val="none"/>
        </font>
      </dxf>
    </rfmt>
    <rfmt sheetId="1" sqref="A37" start="0" length="0">
      <dxf>
        <alignment horizontal="justify" vertical="top" readingOrder="0"/>
        <border outline="0">
          <left style="thin">
            <color indexed="64"/>
          </left>
          <right style="thin">
            <color indexed="64"/>
          </right>
        </border>
      </dxf>
    </rfmt>
    <rfmt sheetId="1" sqref="B37" start="0" length="0">
      <dxf>
        <numFmt numFmtId="30" formatCode="@"/>
        <alignment horizontal="center" vertical="center" readingOrder="0"/>
        <border outline="0">
          <bottom style="thin">
            <color indexed="64"/>
          </bottom>
        </border>
      </dxf>
    </rfmt>
    <rfmt sheetId="1" sqref="C37" start="0" length="0">
      <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37" start="0" length="0">
      <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7" start="0" length="0">
      <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7" start="0" length="0">
      <dxf>
        <numFmt numFmtId="167" formatCode="_(* #,##0.00_);_(* \(#,##0.00\);_(* &quot;-&quot;??_);_(@_)"/>
        <alignment horizontal="center"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" start="0" length="0">
      <dxf>
        <fill>
          <patternFill patternType="solid">
            <bgColor theme="0"/>
          </patternFill>
        </fill>
      </dxf>
    </rfmt>
    <rfmt sheetId="1" sqref="H37" start="0" length="0">
      <dxf>
        <fill>
          <patternFill patternType="solid">
            <bgColor theme="0"/>
          </patternFill>
        </fill>
      </dxf>
    </rfmt>
    <rfmt sheetId="1" sqref="I37" start="0" length="0">
      <dxf>
        <fill>
          <patternFill patternType="solid">
            <bgColor theme="0"/>
          </patternFill>
        </fill>
      </dxf>
    </rfmt>
    <rfmt sheetId="1" sqref="J37" start="0" length="0">
      <dxf>
        <fill>
          <patternFill patternType="solid">
            <bgColor theme="0"/>
          </patternFill>
        </fill>
      </dxf>
    </rfmt>
  </rrc>
  <rfmt sheetId="1" sqref="A37:A38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6971" sId="1">
    <nc r="B38" t="inlineStr">
      <is>
        <t>02 0 00 9Д090</t>
      </is>
    </nc>
  </rcc>
  <rcc rId="6972" sId="1" xfDxf="1" dxf="1">
    <nc r="B37" t="inlineStr">
      <is>
        <t>02 0 00 9Д090</t>
      </is>
    </nc>
    <ndxf>
      <font>
        <name val="Times New Roman"/>
        <scheme val="none"/>
      </font>
      <numFmt numFmtId="30" formatCode="@"/>
      <alignment horizontal="center" vertical="center" readingOrder="0"/>
      <border outline="0">
        <bottom style="thin">
          <color indexed="64"/>
        </bottom>
      </border>
    </ndxf>
  </rcc>
  <rcc rId="6973" sId="1" xfDxf="1" dxf="1">
    <nc r="B36" t="inlineStr">
      <is>
        <t>02 0 00 9Д090</t>
      </is>
    </nc>
    <ndxf>
      <font>
        <name val="Times New Roman"/>
        <scheme val="none"/>
      </font>
      <numFmt numFmtId="30" formatCode="@"/>
      <alignment horizontal="center" vertical="center" readingOrder="0"/>
      <border outline="0">
        <bottom style="thin">
          <color indexed="64"/>
        </bottom>
      </border>
    </ndxf>
  </rcc>
  <rcc rId="6974" sId="1">
    <nc r="B35" t="inlineStr">
      <is>
        <t>02 0 00 9Д020</t>
      </is>
    </nc>
  </rcc>
  <rcc rId="6975" sId="1">
    <nc r="B34" t="inlineStr">
      <is>
        <t>02 0 00 9Д020</t>
      </is>
    </nc>
  </rcc>
  <rcc rId="6976" sId="1">
    <nc r="B33" t="inlineStr">
      <is>
        <t>02 0 00 9Д020</t>
      </is>
    </nc>
  </rcc>
  <rcc rId="6977" sId="1">
    <nc r="B32" t="inlineStr">
      <is>
        <t>02 0 00 9Д020</t>
      </is>
    </nc>
  </rcc>
  <rcc rId="6978" sId="1">
    <nc r="B31" t="inlineStr">
      <is>
        <t>02 0 00 9Д010</t>
      </is>
    </nc>
  </rcc>
  <rcc rId="6979" sId="1">
    <nc r="B30" t="inlineStr">
      <is>
        <t>02 0 00 9Д010</t>
      </is>
    </nc>
  </rcc>
  <rcc rId="6980" sId="1">
    <nc r="B29" t="inlineStr">
      <is>
        <t>02 0 00 9Д010</t>
      </is>
    </nc>
  </rcc>
  <rcc rId="6981" sId="1">
    <nc r="B28" t="inlineStr">
      <is>
        <t>02 0 00 9Д010</t>
      </is>
    </nc>
  </rcc>
  <rcc rId="6982" sId="1" xfDxf="1" dxf="1">
    <nc r="A31" t="inlineStr">
      <is>
        <t xml:space="preserve">Прочая закупка товаров, работ и услуг 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83" sId="1" xfDxf="1" dxf="1">
    <nc r="A35" t="inlineStr">
      <is>
        <t xml:space="preserve">Прочая закупка товаров, работ и услуг 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84" sId="1" xfDxf="1" dxf="1">
    <nc r="A30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85" sId="1" xfDxf="1" dxf="1">
    <nc r="A34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86" sId="1">
    <nc r="A29" t="inlineStr">
      <is>
        <t>Закупка товаров, работ и услуг для обеспечения государственных (муниципальных) нужд</t>
      </is>
    </nc>
  </rcc>
  <rcc rId="6987" sId="1">
    <nc r="A33" t="inlineStr">
      <is>
        <t>Закупка товаров, работ и услуг для обеспечения государственных (муниципальных) нужд</t>
      </is>
    </nc>
  </rcc>
  <rcc rId="6988" sId="1">
    <nc r="A32" t="inlineStr">
      <is>
        <t>Ремонт автомобильных дорог (дорожный фонд Плесецкого муниципального округа)</t>
      </is>
    </nc>
  </rcc>
  <rcc rId="6989" sId="1" xfDxf="1" dxf="1">
    <nc r="A28" t="inlineStr">
      <is>
        <t>Содержание автомобильных дорог (дорожный фонд Плесецкого муниципального округа)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90" sId="1" xfDxf="1" dxf="1">
    <nc r="A36" t="inlineStr">
      <is>
        <t>Зарезервированные средства на дорожную деятельность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91" sId="1" xfDxf="1" dxf="1">
    <nc r="A38" t="inlineStr">
      <is>
        <t>Резервные средства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92" sId="1" xfDxf="1" dxf="1">
    <nc r="A37" t="inlineStr">
      <is>
        <t>Иные бюджетные ассигнования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93" sId="1">
    <nc r="D37">
      <f>D38</f>
    </nc>
  </rcc>
  <rcc rId="6994" sId="1">
    <nc r="E37">
      <f>E38</f>
    </nc>
  </rcc>
  <rcc rId="6995" sId="1">
    <nc r="F37">
      <f>F38</f>
    </nc>
  </rcc>
  <rcc rId="6996" sId="1">
    <nc r="D36">
      <f>D37</f>
    </nc>
  </rcc>
  <rcc rId="6997" sId="1">
    <nc r="E36">
      <f>E37</f>
    </nc>
  </rcc>
  <rcc rId="6998" sId="1">
    <nc r="F36">
      <f>F37</f>
    </nc>
  </rcc>
  <rcc rId="6999" sId="1">
    <nc r="D34">
      <f>D35</f>
    </nc>
  </rcc>
  <rcc rId="7000" sId="1">
    <nc r="E34">
      <f>E35</f>
    </nc>
  </rcc>
  <rcc rId="7001" sId="1">
    <nc r="F34">
      <f>F35</f>
    </nc>
  </rcc>
  <rcc rId="7002" sId="1">
    <nc r="D32">
      <f>D33</f>
    </nc>
  </rcc>
  <rcc rId="7003" sId="1">
    <nc r="E32">
      <f>E33</f>
    </nc>
  </rcc>
  <rcc rId="7004" sId="1">
    <nc r="F32">
      <f>F33</f>
    </nc>
  </rcc>
  <rcc rId="7005" sId="1">
    <nc r="D33">
      <f>D34</f>
    </nc>
  </rcc>
  <rcc rId="7006" sId="1">
    <nc r="E33">
      <f>E34</f>
    </nc>
  </rcc>
  <rcc rId="7007" sId="1">
    <nc r="F33">
      <f>F34</f>
    </nc>
  </rcc>
  <rcc rId="7008" sId="1">
    <nc r="D30">
      <f>D31</f>
    </nc>
  </rcc>
  <rcc rId="7009" sId="1">
    <nc r="E30">
      <f>E31</f>
    </nc>
  </rcc>
  <rcc rId="7010" sId="1">
    <nc r="F30">
      <f>F31</f>
    </nc>
  </rcc>
  <rcc rId="7011" sId="1">
    <nc r="D28">
      <f>D29</f>
    </nc>
  </rcc>
  <rcc rId="7012" sId="1">
    <nc r="E28">
      <f>E29</f>
    </nc>
  </rcc>
  <rcc rId="7013" sId="1">
    <nc r="F28">
      <f>F29</f>
    </nc>
  </rcc>
  <rcc rId="7014" sId="1">
    <nc r="D29">
      <f>D30</f>
    </nc>
  </rcc>
  <rcc rId="7015" sId="1">
    <nc r="E29">
      <f>E30</f>
    </nc>
  </rcc>
  <rcc rId="7016" sId="1">
    <nc r="F29">
      <f>F30</f>
    </nc>
  </rcc>
  <rcc rId="7017" sId="1">
    <oc r="D19">
      <f>D24+D20</f>
    </oc>
    <nc r="D19">
      <f>D24+D20+D28+D32+D36</f>
    </nc>
  </rcc>
  <rcc rId="7018" sId="1">
    <oc r="E19">
      <f>E24+E20</f>
    </oc>
    <nc r="E19">
      <f>E24+E20+E28+E32+E36</f>
    </nc>
  </rcc>
  <rcc rId="7019" sId="1">
    <oc r="F19">
      <f>F24+F20</f>
    </oc>
    <nc r="F19">
      <f>F24+F20+F28+F32+F36</f>
    </nc>
  </rcc>
  <rcc rId="7020" sId="1" numFmtId="34">
    <nc r="D38">
      <v>9292330.5099999998</v>
    </nc>
  </rcc>
  <rcv guid="{D9B90A86-BE39-4FED-8226-084809D277F3}" action="delete"/>
  <rdn rId="0" localSheetId="1" customView="1" name="Z_D9B90A86_BE39_4FED_8226_084809D277F3_.wvu.PrintArea" hidden="1" oldHidden="1">
    <formula>'программы '!$A$1:$F$644</formula>
    <oldFormula>'программы '!$A$1:$F$644</oldFormula>
  </rdn>
  <rdn rId="0" localSheetId="1" customView="1" name="Z_D9B90A86_BE39_4FED_8226_084809D277F3_.wvu.FilterData" hidden="1" oldHidden="1">
    <formula>'программы '!$A$11:$F$255</formula>
    <oldFormula>'программы '!$A$11:$F$255</oldFormula>
  </rdn>
  <rcv guid="{D9B90A86-BE39-4FED-8226-084809D277F3}" action="add"/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23" sId="1" numFmtId="34">
    <oc r="D525">
      <v>583460</v>
    </oc>
    <nc r="D525">
      <f>583460-120000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24" sId="1" numFmtId="34">
    <oc r="D584">
      <v>109500</v>
    </oc>
    <nc r="D584">
      <f>109500+120000</f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25" sId="1" numFmtId="34">
    <oc r="D510">
      <v>5491817.5899999999</v>
    </oc>
    <nc r="D510">
      <f>5491817.59-40000+40000</f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26" sId="1" numFmtId="34">
    <nc r="D35">
      <v>9750000</v>
    </nc>
  </rcc>
  <rcc rId="7027" sId="1" numFmtId="34">
    <nc r="E35">
      <v>9750000</v>
    </nc>
  </rcc>
  <rcc rId="7028" sId="1" numFmtId="34">
    <nc r="F35">
      <v>11000000</v>
    </nc>
  </rcc>
  <rcc rId="7029" sId="1" numFmtId="34">
    <nc r="D31">
      <v>46420470</v>
    </nc>
  </rcc>
  <rcc rId="7030" sId="1" numFmtId="34">
    <nc r="E31">
      <v>47729630</v>
    </nc>
  </rcc>
  <rcc rId="7031" sId="1" numFmtId="34">
    <nc r="F31">
      <v>47932010</v>
    </nc>
  </rcc>
  <rcc rId="7032" sId="1" numFmtId="34">
    <oc r="D27">
      <v>9750000</v>
    </oc>
    <nc r="D27">
      <v>0</v>
    </nc>
  </rcc>
  <rcc rId="7033" sId="1" numFmtId="34">
    <oc r="E27">
      <v>9750000</v>
    </oc>
    <nc r="E27">
      <v>0</v>
    </nc>
  </rcc>
  <rcc rId="7034" sId="1" numFmtId="34">
    <oc r="F27">
      <v>11000000</v>
    </oc>
    <nc r="F27">
      <v>0</v>
    </nc>
  </rcc>
  <rcc rId="7035" sId="1" numFmtId="34">
    <oc r="F23">
      <v>47932010</v>
    </oc>
    <nc r="F23">
      <v>0</v>
    </nc>
  </rcc>
  <rcc rId="7036" sId="1" numFmtId="34">
    <oc r="E23">
      <v>47729630</v>
    </oc>
    <nc r="E23">
      <v>0</v>
    </nc>
  </rcc>
  <rcc rId="7037" sId="1" numFmtId="34">
    <oc r="D23">
      <v>46420470</v>
    </oc>
    <nc r="D23">
      <v>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29" sId="1" ref="A1:XFD1" action="insertRow">
    <undo index="0" exp="area" ref3D="1" dr="$A$230:$XFD$234" dn="Z_30E81E54_DD45_4653_9DCD_548F6723F554_.wvu.Rows" sId="1"/>
  </rrc>
  <rrc rId="2730" sId="1" ref="A1:XFD1" action="insertRow">
    <undo index="0" exp="area" ref3D="1" dr="$A$231:$XFD$235" dn="Z_30E81E54_DD45_4653_9DCD_548F6723F554_.wvu.Rows" sId="1"/>
  </rrc>
  <rrc rId="2731" sId="1" ref="A3:XFD3" action="insertRow">
    <undo index="0" exp="area" ref3D="1" dr="$A$232:$XFD$236" dn="Z_30E81E54_DD45_4653_9DCD_548F6723F554_.wvu.Rows" sId="1"/>
  </rrc>
  <rrc rId="2732" sId="1" ref="A3:XFD3" action="insertRow">
    <undo index="0" exp="area" ref3D="1" dr="$A$233:$XFD$237" dn="Z_30E81E54_DD45_4653_9DCD_548F6723F554_.wvu.Rows" sId="1"/>
  </rrc>
  <rrc rId="2733" sId="1" ref="A1:XFD1" action="deleteRow">
    <undo index="0" exp="area" ref3D="1" dr="$A$234:$XFD$238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34" sId="1" ref="A1:XFD1" action="deleteRow">
    <undo index="0" exp="area" ref3D="1" dr="$A$233:$XFD$237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35" sId="1" ref="A1:XFD1" action="deleteRow">
    <undo index="0" exp="area" ref3D="1" dr="$A$232:$XFD$236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36" sId="1" ref="A1:XFD1" action="deleteRow">
    <undo index="0" exp="area" ref3D="1" dr="$A$231:$XFD$235" dn="Z_30E81E54_DD45_4653_9DCD_548F6723F554_.wvu.Rows" sId="1"/>
    <rfmt sheetId="1" xfDxf="1" sqref="A1:XFD1" start="0" length="0">
      <dxf>
        <font>
          <sz val="11"/>
          <name val="Times New Roman"/>
          <scheme val="none"/>
        </font>
        <alignment vertical="center" readingOrder="0"/>
      </dxf>
    </rfmt>
    <rfmt sheetId="1" sqref="B1" start="0" length="0">
      <dxf>
        <alignment horizontal="center" readingOrder="0"/>
      </dxf>
    </rfmt>
    <rfmt sheetId="1" sqref="C1" start="0" length="0">
      <dxf>
        <alignment horizontal="center" readingOrder="0"/>
      </dxf>
    </rfmt>
    <rfmt sheetId="1" sqref="D1" start="0" length="0">
      <dxf>
        <numFmt numFmtId="164" formatCode="_-* #,##0.00_р_._-;\-* #,##0.00_р_._-;_-* &quot;-&quot;??_р_._-;_-@_-"/>
      </dxf>
    </rfmt>
    <rfmt sheetId="1" sqref="E1" start="0" length="0">
      <dxf>
        <numFmt numFmtId="164" formatCode="_-* #,##0.00_р_._-;\-* #,##0.00_р_._-;_-* &quot;-&quot;??_р_._-;_-@_-"/>
      </dxf>
    </rfmt>
    <rfmt sheetId="1" sqref="F1" start="0" length="0">
      <dxf>
        <numFmt numFmtId="164" formatCode="_-* #,##0.00_р_._-;\-* #,##0.00_р_._-;_-* &quot;-&quot;??_р_._-;_-@_-"/>
      </dxf>
    </rfmt>
  </rrc>
  <rrc rId="2737" sId="1" ref="A2:XFD2" action="insertRow">
    <undo index="0" exp="area" ref3D="1" dr="$A$230:$XFD$234" dn="Z_30E81E54_DD45_4653_9DCD_548F6723F554_.wvu.Rows" sId="1"/>
  </rrc>
  <rrc rId="2738" sId="1" ref="A2:XFD2" action="insertRow">
    <undo index="0" exp="area" ref3D="1" dr="$A$231:$XFD$235" dn="Z_30E81E54_DD45_4653_9DCD_548F6723F554_.wvu.Rows" sId="1"/>
  </rrc>
  <rcc rId="2739" sId="1" xfDxf="1" s="1" dxf="1">
    <nc r="F3" t="inlineStr">
      <is>
        <t xml:space="preserve"> Приложение № 5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2740" sId="1">
    <oc r="A1" t="inlineStr">
      <is>
        <t xml:space="preserve"> Приложение № 5</t>
      </is>
    </oc>
    <nc r="A1" t="inlineStr">
      <is>
        <t>Приложение № 4 к таблице поправок</t>
      </is>
    </nc>
  </rcc>
  <rcv guid="{30E81E54-DD45-4653-9DCD-548F6723F554}" action="delete"/>
  <rdn rId="0" localSheetId="1" customView="1" name="Z_30E81E54_DD45_4653_9DCD_548F6723F554_.wvu.PrintArea" hidden="1" oldHidden="1">
    <formula>'программы '!$A$1:$F$750</formula>
    <oldFormula>'программы '!$A$1:$F$750</oldFormula>
  </rdn>
  <rdn rId="0" localSheetId="1" customView="1" name="Z_30E81E54_DD45_4653_9DCD_548F6723F554_.wvu.Rows" hidden="1" oldHidden="1">
    <formula>'программы '!$232:$236</formula>
    <oldFormula>'программы '!$232:$236</oldFormula>
  </rdn>
  <rdn rId="0" localSheetId="1" customView="1" name="Z_30E81E54_DD45_4653_9DCD_548F6723F554_.wvu.FilterData" hidden="1" oldHidden="1">
    <formula>'программы '!$A$1:$A$763</formula>
    <oldFormula>'программы '!$A$1:$A$763</oldFormula>
  </rdn>
  <rcv guid="{30E81E54-DD45-4653-9DCD-548F6723F554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96" sId="1" ref="A83:XFD83" action="insertRow">
    <undo index="0" exp="area" ref3D="1" dr="$A$268:$XFD$272" dn="Z_D9B90A86_BE39_4FED_8226_084809D277F3_.wvu.Rows" sId="1"/>
    <undo index="0" exp="area" ref3D="1" dr="$A$268:$XFD$272" dn="Z_30E81E54_DD45_4653_9DCD_548F6723F554_.wvu.Rows" sId="1"/>
  </rrc>
  <rrc rId="3097" sId="1" ref="A83:XFD83" action="insertRow">
    <undo index="0" exp="area" ref3D="1" dr="$A$269:$XFD$273" dn="Z_D9B90A86_BE39_4FED_8226_084809D277F3_.wvu.Rows" sId="1"/>
    <undo index="0" exp="area" ref3D="1" dr="$A$269:$XFD$273" dn="Z_30E81E54_DD45_4653_9DCD_548F6723F554_.wvu.Rows" sId="1"/>
  </rrc>
  <rrc rId="3098" sId="1" ref="A83:XFD83" action="insertRow">
    <undo index="0" exp="area" ref3D="1" dr="$A$270:$XFD$274" dn="Z_D9B90A86_BE39_4FED_8226_084809D277F3_.wvu.Rows" sId="1"/>
    <undo index="0" exp="area" ref3D="1" dr="$A$270:$XFD$274" dn="Z_30E81E54_DD45_4653_9DCD_548F6723F554_.wvu.Rows" sId="1"/>
  </rrc>
  <rrc rId="3099" sId="1" ref="A83:XFD83" action="insertRow">
    <undo index="0" exp="area" ref3D="1" dr="$A$271:$XFD$275" dn="Z_D9B90A86_BE39_4FED_8226_084809D277F3_.wvu.Rows" sId="1"/>
    <undo index="0" exp="area" ref3D="1" dr="$A$271:$XFD$275" dn="Z_30E81E54_DD45_4653_9DCD_548F6723F554_.wvu.Rows" sId="1"/>
  </rrc>
  <rcc rId="3100" sId="1" xfDxf="1" dxf="1">
    <nc r="B83" t="inlineStr">
      <is>
        <t>03 2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1" sId="1" xfDxf="1" dxf="1">
    <nc r="B84" t="inlineStr">
      <is>
        <t>03 2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2" sId="1" xfDxf="1" dxf="1">
    <nc r="B85" t="inlineStr">
      <is>
        <t>03 2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3" sId="1" xfDxf="1" dxf="1">
    <nc r="B86" t="inlineStr">
      <is>
        <t>03 2 00 Э4660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4" sId="1" numFmtId="34">
    <nc r="C86">
      <v>612</v>
    </nc>
  </rcc>
  <rcc rId="3105" sId="1" numFmtId="34">
    <nc r="C85">
      <v>610</v>
    </nc>
  </rcc>
  <rcc rId="3106" sId="1" numFmtId="34">
    <nc r="C84">
      <v>600</v>
    </nc>
  </rcc>
  <rcc rId="3107" sId="1" xfDxf="1" dxf="1">
    <nc r="A83" t="inlineStr">
      <is>
    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8" sId="1" xfDxf="1" dxf="1">
    <nc r="A84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09" sId="1" xfDxf="1" dxf="1">
    <nc r="A85" t="inlineStr">
      <is>
        <t>Субсидии бюджетным учреждения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10" sId="1" xfDxf="1" dxf="1">
    <nc r="A86" t="inlineStr">
      <is>
        <t>Субсидии бюджетным учреждениям на  иные цели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11" sId="1">
    <nc r="D85">
      <f>D86</f>
    </nc>
  </rcc>
  <rcc rId="3112" sId="1">
    <nc r="E85">
      <f>E86</f>
    </nc>
  </rcc>
  <rcc rId="3113" sId="1">
    <nc r="F85">
      <f>F86</f>
    </nc>
  </rcc>
  <rcc rId="3114" sId="1">
    <nc r="D84">
      <f>D85</f>
    </nc>
  </rcc>
  <rcc rId="3115" sId="1">
    <nc r="E84">
      <f>E85</f>
    </nc>
  </rcc>
  <rcc rId="3116" sId="1">
    <nc r="F84">
      <f>F85</f>
    </nc>
  </rcc>
  <rcc rId="3117" sId="1">
    <nc r="D83">
      <f>D84</f>
    </nc>
  </rcc>
  <rcc rId="3118" sId="1">
    <nc r="E83">
      <f>E84</f>
    </nc>
  </rcc>
  <rcc rId="3119" sId="1">
    <nc r="F83">
      <f>F84</f>
    </nc>
  </rcc>
  <rcc rId="3120" sId="1">
    <oc r="D70">
      <f>D75+D79+D91+D96+D107+D146+D150+D154+D71+D111+D119+D132+D123+D115+D87+D103+D141</f>
    </oc>
    <nc r="D70">
      <f>D75+D79+D91+D96+D107+D146+D150+D154+D71+D111+D119+D132+D123+D115+D87+D103+D141+D83</f>
    </nc>
  </rcc>
  <rcc rId="3121" sId="1">
    <oc r="E70">
      <f>E75+E79+E91+E96+E107+E146+E150+E154+E71+E111+E119+E132+E123+E115+E87+E103+E141</f>
    </oc>
    <nc r="E70">
      <f>E75+E79+E91+E96+E107+E146+E150+E154+E71+E111+E119+E132+E123+E115+E87+E103+E141+E83</f>
    </nc>
  </rcc>
  <rcc rId="3122" sId="1">
    <oc r="F70">
      <f>F75+F79+F91+F96+F107+F146+F150+F154+F71+F111+F119+F132+F123+F115+F87+F103+F141</f>
    </oc>
    <nc r="F70">
      <f>F75+F79+F91+F96+F107+F146+F150+F154+F71+F111+F119+F132+F123+F115+F87+F103+F141+F83</f>
    </nc>
  </rcc>
  <rcv guid="{D9B90A86-BE39-4FED-8226-084809D277F3}" action="delete"/>
  <rdn rId="0" localSheetId="1" customView="1" name="Z_D9B90A86_BE39_4FED_8226_084809D277F3_.wvu.PrintArea" hidden="1" oldHidden="1">
    <formula>'программы '!$A$1:$F$794</formula>
    <oldFormula>'программы '!$A$1:$F$794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'!$A$1:$A$807</formula>
    <oldFormula>'программы '!$A$1:$A$807</oldFormula>
  </rdn>
  <rcv guid="{D9B90A86-BE39-4FED-8226-084809D277F3}" action="add"/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38" sId="1" ref="A176:XFD176" action="insertRow">
    <undo index="0" exp="area" ref3D="1" dr="$A$213:$XFD$217" dn="Z_30E81E54_DD45_4653_9DCD_548F6723F554_.wvu.Rows" sId="1"/>
  </rrc>
  <rrc rId="7039" sId="1" ref="A176:XFD176" action="insertRow">
    <undo index="0" exp="area" ref3D="1" dr="$A$214:$XFD$218" dn="Z_30E81E54_DD45_4653_9DCD_548F6723F554_.wvu.Rows" sId="1"/>
  </rrc>
  <rrc rId="7040" sId="1" ref="A176:XFD176" action="insertRow">
    <undo index="0" exp="area" ref3D="1" dr="$A$215:$XFD$219" dn="Z_30E81E54_DD45_4653_9DCD_548F6723F554_.wvu.Rows" sId="1"/>
  </rrc>
  <rrc rId="7041" sId="1" ref="A176:XFD176" action="insertRow">
    <undo index="0" exp="area" ref3D="1" dr="$A$216:$XFD$220" dn="Z_30E81E54_DD45_4653_9DCD_548F6723F554_.wvu.Rows" sId="1"/>
  </rrc>
  <rfmt sheetId="1" sqref="A176" start="0" length="0">
    <dxf>
      <border>
        <top style="thin">
          <color indexed="64"/>
        </top>
      </border>
    </dxf>
  </rfmt>
  <rfmt sheetId="1" sqref="A179" start="0" length="0">
    <dxf>
      <border>
        <bottom style="thin">
          <color indexed="64"/>
        </bottom>
      </border>
    </dxf>
  </rfmt>
  <rfmt sheetId="1" sqref="A176:A179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7042" sId="1" numFmtId="34">
    <nc r="C179">
      <v>244</v>
    </nc>
  </rcc>
  <rcc rId="7043" sId="1" numFmtId="34">
    <nc r="C178">
      <v>240</v>
    </nc>
  </rcc>
  <rcc rId="7044" sId="1" numFmtId="34">
    <nc r="C177">
      <v>200</v>
    </nc>
  </rcc>
  <rfmt sheetId="1" sqref="C177:C179">
    <dxf>
      <numFmt numFmtId="30" formatCode="@"/>
    </dxf>
  </rfmt>
  <rfmt sheetId="1" sqref="C177:C179" start="0" length="2147483647">
    <dxf>
      <font>
        <i val="0"/>
      </font>
    </dxf>
  </rfmt>
  <rcc rId="7045" sId="1">
    <nc r="B179" t="inlineStr">
      <is>
        <t>04 0 00 10840</t>
      </is>
    </nc>
  </rcc>
  <rfmt sheetId="1" sqref="A176:F179" start="0" length="2147483647">
    <dxf>
      <font>
        <b val="0"/>
      </font>
    </dxf>
  </rfmt>
  <rfmt sheetId="1" sqref="A176:F179" start="0" length="2147483647">
    <dxf>
      <font>
        <i val="0"/>
      </font>
    </dxf>
  </rfmt>
  <rcc rId="7046" sId="1">
    <nc r="B178" t="inlineStr">
      <is>
        <t>04 0 00 10840</t>
      </is>
    </nc>
  </rcc>
  <rcc rId="7047" sId="1">
    <nc r="B177" t="inlineStr">
      <is>
        <t>04 0 00 10840</t>
      </is>
    </nc>
  </rcc>
  <rcc rId="7048" sId="1">
    <nc r="B176" t="inlineStr">
      <is>
        <t>04 0 00 10840</t>
      </is>
    </nc>
  </rcc>
  <rcc rId="7049" sId="1">
    <nc r="D178">
      <f>D179</f>
    </nc>
  </rcc>
  <rcc rId="7050" sId="1">
    <nc r="E178">
      <f>E179</f>
    </nc>
  </rcc>
  <rcc rId="7051" sId="1">
    <nc r="F178">
      <f>F179</f>
    </nc>
  </rcc>
  <rcc rId="7052" sId="1">
    <nc r="D176">
      <f>D177</f>
    </nc>
  </rcc>
  <rcc rId="7053" sId="1">
    <nc r="E176">
      <f>E177</f>
    </nc>
  </rcc>
  <rcc rId="7054" sId="1">
    <nc r="F176">
      <f>F177</f>
    </nc>
  </rcc>
  <rcc rId="7055" sId="1">
    <nc r="D177">
      <f>D178</f>
    </nc>
  </rcc>
  <rcc rId="7056" sId="1">
    <nc r="E177">
      <f>E178</f>
    </nc>
  </rcc>
  <rcc rId="7057" sId="1">
    <nc r="F177">
      <f>F178</f>
    </nc>
  </rcc>
  <rcc rId="7058" sId="1">
    <oc r="D175">
      <f>D180+D184+D188+D193+D197</f>
    </oc>
    <nc r="D175">
      <f>D180+D184+D188+D193+D197+D176</f>
    </nc>
  </rcc>
  <rcc rId="7059" sId="1">
    <oc r="E175">
      <f>E180+E184+E188+E193+E197</f>
    </oc>
    <nc r="E175">
      <f>E180+E184+E188+E193+E197+E176</f>
    </nc>
  </rcc>
  <rcc rId="7060" sId="1">
    <oc r="F175">
      <f>F180+F184+F188+F193+F197</f>
    </oc>
    <nc r="F175">
      <f>F180+F184+F188+F193+F197+F176</f>
    </nc>
  </rcc>
  <rcc rId="7061" sId="1" xfDxf="1" dxf="1">
    <nc r="A179" t="inlineStr">
      <is>
        <t xml:space="preserve">Прочая закупка товаров, работ и услуг 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62" sId="1" xfDxf="1" dxf="1">
    <nc r="A178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63" sId="1" xfDxf="1" dxf="1">
    <nc r="A177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64" sId="1" xfDxf="1" dxf="1">
    <nc r="A176" t="inlineStr">
      <is>
        <t>Организация и содержание мест захоронения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65" sId="1" numFmtId="34">
    <nc r="D179">
      <v>2728800</v>
    </nc>
  </rcc>
  <rcc rId="7066" sId="1" numFmtId="34">
    <nc r="E179">
      <v>2728800</v>
    </nc>
  </rcc>
  <rcc rId="7067" sId="1" numFmtId="34">
    <nc r="F179">
      <v>2728800</v>
    </nc>
  </rcc>
  <rcv guid="{D9B90A86-BE39-4FED-8226-084809D277F3}" action="delete"/>
  <rdn rId="0" localSheetId="1" customView="1" name="Z_D9B90A86_BE39_4FED_8226_084809D277F3_.wvu.PrintArea" hidden="1" oldHidden="1">
    <formula>'программы '!$A$1:$F$648</formula>
    <oldFormula>'программы '!$A$1:$F$648</oldFormula>
  </rdn>
  <rdn rId="0" localSheetId="1" customView="1" name="Z_D9B90A86_BE39_4FED_8226_084809D277F3_.wvu.FilterData" hidden="1" oldHidden="1">
    <formula>'программы '!$A$11:$F$259</formula>
    <oldFormula>'программы '!$A$11:$F$259</oldFormula>
  </rdn>
  <rcv guid="{D9B90A86-BE39-4FED-8226-084809D277F3}" action="add"/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70" sId="1" numFmtId="34">
    <oc r="D287">
      <v>237059.9</v>
    </oc>
    <nc r="D287">
      <f>237059.9-17165.47</f>
    </nc>
  </rcc>
  <rcc rId="7071" sId="1" numFmtId="34">
    <oc r="E287">
      <v>240453.5</v>
    </oc>
    <nc r="E287">
      <f>240453.5-17677.78</f>
    </nc>
  </rcc>
  <rcc rId="7072" sId="1" numFmtId="34">
    <oc r="F287">
      <v>0</v>
    </oc>
    <nc r="F287">
      <v>201682.78</v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73" sId="1" numFmtId="34">
    <oc r="D594">
      <v>2963993.86</v>
    </oc>
    <nc r="D594">
      <f>2963993.86-1863.89</f>
    </nc>
  </rcc>
  <rcc rId="7074" sId="1" numFmtId="34">
    <oc r="E594">
      <v>3012069.96</v>
    </oc>
    <nc r="E594">
      <f>3012069.96-44671.47</f>
    </nc>
  </rcc>
  <rcc rId="7075" sId="1" numFmtId="34">
    <oc r="F594">
      <v>3082942.2</v>
    </oc>
    <nc r="F594">
      <f>3082942.2-110066.08</f>
    </nc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76" sId="1" ref="A584:XFD584" action="insertRow"/>
  <rrc rId="7077" sId="1" ref="A584:XFD584" action="insertRow"/>
  <rrc rId="7078" sId="1" ref="A584:XFD584" action="insertRow"/>
  <rrc rId="7079" sId="1" ref="A584:XFD584" action="insertRow"/>
  <rcc rId="7080" sId="1">
    <nc r="C587">
      <v>414</v>
    </nc>
  </rcc>
  <rcc rId="7081" sId="1">
    <nc r="C586">
      <v>410</v>
    </nc>
  </rcc>
  <rcc rId="7082" sId="1">
    <nc r="C585">
      <v>400</v>
    </nc>
  </rcc>
  <rcc rId="7083" sId="1">
    <nc r="B587" t="inlineStr">
      <is>
        <t>59 0 00 97040</t>
      </is>
    </nc>
  </rcc>
  <rcc rId="7084" sId="1">
    <nc r="B586" t="inlineStr">
      <is>
        <t>59 0 00 97040</t>
      </is>
    </nc>
  </rcc>
  <rcc rId="7085" sId="1">
    <nc r="B585" t="inlineStr">
      <is>
        <t>59 0 00 97040</t>
      </is>
    </nc>
  </rcc>
  <rcc rId="7086" sId="1">
    <nc r="B584" t="inlineStr">
      <is>
        <t>59 0 00 97040</t>
      </is>
    </nc>
  </rcc>
  <rcc rId="7087" sId="1">
    <nc r="D586">
      <f>D587</f>
    </nc>
  </rcc>
  <rcc rId="7088" sId="1">
    <nc r="E586">
      <f>E587</f>
    </nc>
  </rcc>
  <rcc rId="7089" sId="1">
    <nc r="F586">
      <f>F587</f>
    </nc>
  </rcc>
  <rcc rId="7090" sId="1">
    <nc r="D584">
      <f>D585</f>
    </nc>
  </rcc>
  <rcc rId="7091" sId="1">
    <nc r="E584">
      <f>E585</f>
    </nc>
  </rcc>
  <rcc rId="7092" sId="1">
    <nc r="F584">
      <f>F585</f>
    </nc>
  </rcc>
  <rcc rId="7093" sId="1">
    <nc r="D585">
      <f>D586</f>
    </nc>
  </rcc>
  <rcc rId="7094" sId="1">
    <nc r="E585">
      <f>E586</f>
    </nc>
  </rcc>
  <rcc rId="7095" sId="1">
    <nc r="F585">
      <f>F586</f>
    </nc>
  </rcc>
  <rcc rId="7096" sId="1" xfDxf="1" dxf="1">
    <nc r="A586" t="inlineStr">
      <is>
        <t>Бюджетные инвестиции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7097" sId="1" xfDxf="1" dxf="1">
    <nc r="A585" t="inlineStr">
      <is>
        <t>Капитальные вложения в объекты государственной (муниципальной) собственности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7098" sId="1" xfDxf="1" dxf="1">
    <nc r="A584" t="inlineStr">
      <is>
        <t>Расходы на модернизацию (строительство) котельных на твердом биотопливе, источником финансового обеспечения которых является специальный казначейский кредит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7099" sId="1" xfDxf="1" dxf="1">
    <nc r="A587" t="inlineStr">
      <is>
        <t>Бюджетные инвестиции в объекты капитального строительства государственной (муниципальной) собственности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7100" sId="1" numFmtId="34">
    <nc r="D587">
      <v>23186924.359999999</v>
    </nc>
  </rcc>
  <rcc rId="7101" sId="1">
    <oc r="D542">
      <f>D543</f>
    </oc>
    <nc r="D542">
      <f>D543+D584</f>
    </nc>
  </rcc>
  <rcc rId="7102" sId="1">
    <oc r="E542">
      <f>E543</f>
    </oc>
    <nc r="E542">
      <f>E543+E584</f>
    </nc>
  </rcc>
  <rcc rId="7103" sId="1">
    <oc r="F542">
      <f>F543</f>
    </oc>
    <nc r="F542">
      <f>F543+F584</f>
    </nc>
  </rcc>
  <rcv guid="{D9B90A86-BE39-4FED-8226-084809D277F3}" action="delete"/>
  <rdn rId="0" localSheetId="1" customView="1" name="Z_D9B90A86_BE39_4FED_8226_084809D277F3_.wvu.PrintArea" hidden="1" oldHidden="1">
    <formula>'программы '!$A$1:$F$652</formula>
    <oldFormula>'программы '!$A$1:$F$652</oldFormula>
  </rdn>
  <rdn rId="0" localSheetId="1" customView="1" name="Z_D9B90A86_BE39_4FED_8226_084809D277F3_.wvu.FilterData" hidden="1" oldHidden="1">
    <formula>'программы '!$A$11:$F$259</formula>
    <oldFormula>'программы '!$A$11:$F$259</oldFormula>
  </rdn>
  <rcv guid="{D9B90A86-BE39-4FED-8226-084809D277F3}" action="add"/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06" sId="1" ref="A104:XFD104" action="insertRow">
    <undo index="0" exp="area" ref3D="1" dr="$A$217:$XFD$221" dn="Z_30E81E54_DD45_4653_9DCD_548F6723F554_.wvu.Rows" sId="1"/>
  </rrc>
  <rrc rId="7107" sId="1" ref="A104:XFD104" action="insertRow">
    <undo index="0" exp="area" ref3D="1" dr="$A$218:$XFD$222" dn="Z_30E81E54_DD45_4653_9DCD_548F6723F554_.wvu.Rows" sId="1"/>
  </rrc>
  <rrc rId="7108" sId="1" ref="A104:XFD104" action="insertRow">
    <undo index="0" exp="area" ref3D="1" dr="$A$219:$XFD$223" dn="Z_30E81E54_DD45_4653_9DCD_548F6723F554_.wvu.Rows" sId="1"/>
  </rrc>
  <rrc rId="7109" sId="1" ref="A104:XFD104" action="insertRow">
    <undo index="0" exp="area" ref3D="1" dr="$A$220:$XFD$224" dn="Z_30E81E54_DD45_4653_9DCD_548F6723F554_.wvu.Rows" sId="1"/>
  </rrc>
  <rrc rId="7110" sId="1" ref="A104:XFD104" action="insertRow">
    <undo index="0" exp="area" ref3D="1" dr="$A$221:$XFD$225" dn="Z_30E81E54_DD45_4653_9DCD_548F6723F554_.wvu.Rows" sId="1"/>
  </rrc>
  <rcc rId="7111" sId="1">
    <nc r="C108">
      <v>243</v>
    </nc>
  </rcc>
  <rcc rId="7112" sId="1">
    <nc r="C107">
      <v>240</v>
    </nc>
  </rcc>
  <rcc rId="7113" sId="1">
    <nc r="C106">
      <v>200</v>
    </nc>
  </rcc>
  <rcc rId="7114" sId="1" xfDxf="1" dxf="1">
    <nc r="A108" t="inlineStr">
      <is>
        <t>Закупка товаров, работ, услуг в целях капитального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5" sId="1" xfDxf="1" dxf="1">
    <nc r="A107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6" sId="1" xfDxf="1" dxf="1">
    <nc r="A106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7" sId="1" xfDxf="1" dxf="1">
    <nc r="A105" t="inlineStr">
      <is>
        <t>Реализация мероприятий по модернизации школьных систем образования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8" sId="1">
    <nc r="A104" t="inlineStr">
      <is>
        <t>Мероприятия в рамках Федерального проекта "Все лучшее детям"</t>
      </is>
    </nc>
  </rcc>
  <rcc rId="7119" sId="1">
    <nc r="B107" t="inlineStr">
      <is>
        <t>03 2 Ю4 57502</t>
      </is>
    </nc>
  </rcc>
  <rcc rId="7120" sId="1">
    <nc r="B108" t="inlineStr">
      <is>
        <t>03 2 Ю4 57502</t>
      </is>
    </nc>
  </rcc>
  <rcc rId="7121" sId="1">
    <nc r="B106" t="inlineStr">
      <is>
        <t>03 2 Ю4 57502</t>
      </is>
    </nc>
  </rcc>
  <rcc rId="7122" sId="1" xfDxf="1" dxf="1">
    <nc r="B105" t="inlineStr">
      <is>
        <t>03 2 Ю4 57502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7123" sId="1">
    <nc r="B104" t="inlineStr">
      <is>
        <t>03 2 Ю4 00000</t>
      </is>
    </nc>
  </rcc>
  <rcc rId="7124" sId="1">
    <nc r="D107">
      <f>D108</f>
    </nc>
  </rcc>
  <rcc rId="7125" sId="1">
    <nc r="E107">
      <f>E108</f>
    </nc>
  </rcc>
  <rcc rId="7126" sId="1">
    <nc r="F107">
      <f>F108</f>
    </nc>
  </rcc>
  <rcc rId="7127" sId="1">
    <nc r="D104">
      <f>D105</f>
    </nc>
  </rcc>
  <rcc rId="7128" sId="1">
    <nc r="E104">
      <f>E105</f>
    </nc>
  </rcc>
  <rcc rId="7129" sId="1">
    <nc r="F104">
      <f>F105</f>
    </nc>
  </rcc>
  <rcc rId="7130" sId="1">
    <nc r="D105">
      <f>D106</f>
    </nc>
  </rcc>
  <rcc rId="7131" sId="1">
    <nc r="E105">
      <f>E106</f>
    </nc>
  </rcc>
  <rcc rId="7132" sId="1">
    <nc r="F105">
      <f>F106</f>
    </nc>
  </rcc>
  <rcc rId="7133" sId="1">
    <nc r="D106">
      <f>D107</f>
    </nc>
  </rcc>
  <rcc rId="7134" sId="1">
    <nc r="E106">
      <f>E107</f>
    </nc>
  </rcc>
  <rcc rId="7135" sId="1">
    <nc r="F106">
      <f>F107</f>
    </nc>
  </rcc>
  <rcc rId="7136" sId="1">
    <oc r="D62">
      <f>D63+D67+D71+D80+D96+D100+D84+D92+D88+D109+D76</f>
    </oc>
    <nc r="D62">
      <f>D63+D67+D71+D80+D96+D100+D84+D92+D88+D109+D76+D104</f>
    </nc>
  </rcc>
  <rcc rId="7137" sId="1">
    <oc r="E62">
      <f>E63+E67+E71+E80+E96+E100+E84+E92+E88+E109+E76</f>
    </oc>
    <nc r="E62">
      <f>E63+E67+E71+E80+E96+E100+E84+E92+E88+E109+E76+E104</f>
    </nc>
  </rcc>
  <rcc rId="7138" sId="1">
    <oc r="F62">
      <f>F63+F67+F71+F80+F96+F100+F84+F92+F88+F109+F76</f>
    </oc>
    <nc r="F62">
      <f>F63+F67+F71+F80+F96+F100+F84+F92+F88+F109+F76+F104</f>
    </nc>
  </rcc>
  <rcc rId="7139" sId="1" numFmtId="34">
    <nc r="D108">
      <v>105019101.12</v>
    </nc>
  </rcc>
  <rcv guid="{D9B90A86-BE39-4FED-8226-084809D277F3}" action="delete"/>
  <rdn rId="0" localSheetId="1" customView="1" name="Z_D9B90A86_BE39_4FED_8226_084809D277F3_.wvu.PrintArea" hidden="1" oldHidden="1">
    <formula>'программы '!$A$1:$F$657</formula>
    <oldFormula>'программы '!$A$1:$F$657</oldFormula>
  </rdn>
  <rdn rId="0" localSheetId="1" customView="1" name="Z_D9B90A86_BE39_4FED_8226_084809D277F3_.wvu.FilterData" hidden="1" oldHidden="1">
    <formula>'программы '!$A$11:$F$264</formula>
    <oldFormula>'программы '!$A$11:$F$264</oldFormula>
  </rdn>
  <rcv guid="{D9B90A86-BE39-4FED-8226-084809D277F3}" action="add"/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42" sId="1" ref="A169:XFD169" action="insertRow">
    <undo index="0" exp="area" ref3D="1" dr="$A$222:$XFD$226" dn="Z_30E81E54_DD45_4653_9DCD_548F6723F554_.wvu.Rows" sId="1"/>
  </rrc>
  <rrc rId="7143" sId="1" ref="A169:XFD169" action="insertRow">
    <undo index="0" exp="area" ref3D="1" dr="$A$223:$XFD$227" dn="Z_30E81E54_DD45_4653_9DCD_548F6723F554_.wvu.Rows" sId="1"/>
  </rrc>
  <rrc rId="7144" sId="1" ref="A169:XFD169" action="insertRow">
    <undo index="0" exp="area" ref3D="1" dr="$A$224:$XFD$228" dn="Z_30E81E54_DD45_4653_9DCD_548F6723F554_.wvu.Rows" sId="1"/>
  </rrc>
  <rcc rId="7145" sId="1">
    <nc r="C171">
      <v>243</v>
    </nc>
  </rcc>
  <rcc rId="7146" sId="1">
    <nc r="C170">
      <v>240</v>
    </nc>
  </rcc>
  <rcc rId="7147" sId="1">
    <nc r="C169">
      <v>200</v>
    </nc>
  </rcc>
  <rcc rId="7148" sId="1" xfDxf="1" s="1" dxf="1">
    <nc r="B171" t="inlineStr">
      <is>
        <t>03 5 00 R4941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49" sId="1" xfDxf="1" s="1" dxf="1">
    <nc r="B170" t="inlineStr">
      <is>
        <t>03 5 00 R4941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50" sId="1" xfDxf="1" s="1" dxf="1">
    <nc r="B169" t="inlineStr">
      <is>
        <t>03 5 00 R4941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51" sId="1">
    <nc r="D170">
      <f>D171</f>
    </nc>
  </rcc>
  <rcc rId="7152" sId="1">
    <nc r="E170">
      <f>E171</f>
    </nc>
  </rcc>
  <rcc rId="7153" sId="1">
    <nc r="F170">
      <f>F171</f>
    </nc>
  </rcc>
  <rcc rId="7154" sId="1">
    <nc r="D169">
      <f>D170</f>
    </nc>
  </rcc>
  <rcc rId="7155" sId="1">
    <nc r="E169">
      <f>E170</f>
    </nc>
  </rcc>
  <rcc rId="7156" sId="1">
    <nc r="F169">
      <f>F170</f>
    </nc>
  </rcc>
  <rcc rId="7157" sId="1">
    <oc r="D168">
      <f>D172</f>
    </oc>
    <nc r="D168">
      <f>D172+D169</f>
    </nc>
  </rcc>
  <rcc rId="7158" sId="1">
    <oc r="E168">
      <f>E172</f>
    </oc>
    <nc r="E168">
      <f>E172+E169</f>
    </nc>
  </rcc>
  <rcc rId="7159" sId="1">
    <oc r="F168">
      <f>F172</f>
    </oc>
    <nc r="F168">
      <f>F172+F169</f>
    </nc>
  </rcc>
  <rcc rId="7160" sId="1" numFmtId="34">
    <oc r="D174">
      <v>12560227.27</v>
    </oc>
    <nc r="D174">
      <v>0</v>
    </nc>
  </rcc>
  <rcc rId="7161" sId="1" numFmtId="34">
    <nc r="D171">
      <v>12560227.27</v>
    </nc>
  </rcc>
  <rcc rId="7162" sId="1" numFmtId="34">
    <nc r="E171">
      <v>36023678.159999996</v>
    </nc>
  </rcc>
  <rcv guid="{D9B90A86-BE39-4FED-8226-084809D277F3}" action="delete"/>
  <rdn rId="0" localSheetId="1" customView="1" name="Z_D9B90A86_BE39_4FED_8226_084809D277F3_.wvu.PrintArea" hidden="1" oldHidden="1">
    <formula>'программы '!$A$1:$F$660</formula>
    <oldFormula>'программы '!$A$1:$F$660</oldFormula>
  </rdn>
  <rdn rId="0" localSheetId="1" customView="1" name="Z_D9B90A86_BE39_4FED_8226_084809D277F3_.wvu.FilterData" hidden="1" oldHidden="1">
    <formula>'программы '!$A$11:$F$267</formula>
    <oldFormula>'программы '!$A$11:$F$267</oldFormula>
  </rdn>
  <rcv guid="{D9B90A86-BE39-4FED-8226-084809D277F3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65" sId="1" xfDxf="1" dxf="1">
    <nc r="A171" t="inlineStr">
      <is>
        <t>Закупка товаров, работ, услуг в целях капитального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xfDxf="1" sqref="A172" start="0" length="0">
    <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cc rId="7166" sId="1" xfDxf="1" dxf="1">
    <nc r="A170" t="inlineStr">
      <is>
        <t>Иные закупки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7167" sId="1" xfDxf="1" dxf="1">
    <nc r="A169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xfDxf="1" sqref="A172" start="0" length="0">
    <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cv guid="{D9B90A86-BE39-4FED-8226-084809D277F3}" action="delete"/>
  <rdn rId="0" localSheetId="1" customView="1" name="Z_D9B90A86_BE39_4FED_8226_084809D277F3_.wvu.PrintArea" hidden="1" oldHidden="1">
    <formula>'программы '!$A$1:$F$660</formula>
    <oldFormula>'программы '!$A$1:$F$660</oldFormula>
  </rdn>
  <rdn rId="0" localSheetId="1" customView="1" name="Z_D9B90A86_BE39_4FED_8226_084809D277F3_.wvu.FilterData" hidden="1" oldHidden="1">
    <formula>'программы '!$A$11:$F$267</formula>
    <oldFormula>'программы '!$A$11:$F$267</oldFormula>
  </rdn>
  <rcv guid="{D9B90A86-BE39-4FED-8226-084809D277F3}" action="add"/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0" sId="1" odxf="1" dxf="1">
    <oc r="A171" t="inlineStr">
      <is>
        <t>Закупка товаров, работ, услуг в целях капитального</t>
      </is>
    </oc>
    <nc r="A171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v guid="{D9B90A86-BE39-4FED-8226-084809D277F3}" action="delete"/>
  <rdn rId="0" localSheetId="1" customView="1" name="Z_D9B90A86_BE39_4FED_8226_084809D277F3_.wvu.PrintArea" hidden="1" oldHidden="1">
    <formula>'программы '!$A$1:$F$660</formula>
    <oldFormula>'программы '!$A$1:$F$660</oldFormula>
  </rdn>
  <rdn rId="0" localSheetId="1" customView="1" name="Z_D9B90A86_BE39_4FED_8226_084809D277F3_.wvu.FilterData" hidden="1" oldHidden="1">
    <formula>'программы '!$A$11:$F$267</formula>
    <oldFormula>'программы '!$A$11:$F$267</oldFormula>
  </rdn>
  <rcv guid="{D9B90A86-BE39-4FED-8226-084809D277F3}" action="add"/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3" sId="1" numFmtId="34">
    <oc r="D44">
      <v>18582915.010000002</v>
    </oc>
    <nc r="D44">
      <f>18582915.01-5775465.01</f>
    </nc>
  </rcc>
  <rcc rId="7174" sId="1" numFmtId="34">
    <oc r="D66">
      <v>36220794.170000002</v>
    </oc>
    <nc r="D66">
      <f>36220794.17-11360205.04</f>
    </nc>
  </rcc>
  <rcc rId="7175" sId="1" numFmtId="34">
    <oc r="D122">
      <v>5401485.8700000001</v>
    </oc>
    <nc r="D122">
      <f>5401485.87-1685385.87</f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6" sId="1" numFmtId="34">
    <oc r="D52">
      <v>12541711.42</v>
    </oc>
    <nc r="D52">
      <f>12541711.42-348505.98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3:XFD86">
    <dxf>
      <fill>
        <patternFill patternType="solid">
          <bgColor theme="6" tint="0.59999389629810485"/>
        </patternFill>
      </fill>
    </dxf>
  </rfmt>
  <rrc rId="3126" sId="1" ref="A719:XFD719" action="insertRow"/>
  <rrc rId="3127" sId="1" ref="A719:XFD719" action="insertRow"/>
  <rrc rId="3128" sId="1" ref="A719:XFD719" action="insertRow"/>
  <rrc rId="3129" sId="1" ref="A719:XFD719" action="insertRow"/>
  <rrc rId="3130" sId="1" ref="A720:XFD720" action="insertRow"/>
  <rfmt sheetId="1" sqref="A719:A723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3131" sId="1" xfDxf="1" dxf="1">
    <nc r="B719" t="inlineStr">
      <is>
        <t>60 0 00 00000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132" sId="1" xfDxf="1" dxf="1">
    <nc r="B720" t="inlineStr">
      <is>
        <t>60 0 00 80020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133" sId="1" xfDxf="1" dxf="1">
    <nc r="B721" t="inlineStr">
      <is>
        <t>60 0 00 80020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134" sId="1" xfDxf="1" dxf="1">
    <nc r="B722" t="inlineStr">
      <is>
        <t>60 0 00 80020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135" sId="1" xfDxf="1" dxf="1">
    <nc r="B723" t="inlineStr">
      <is>
        <t>60 0 00 80020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136" sId="1">
    <nc r="C723" t="inlineStr">
      <is>
        <t>831</t>
      </is>
    </nc>
  </rcc>
  <rcc rId="3137" sId="1">
    <nc r="C722" t="inlineStr">
      <is>
        <t>830</t>
      </is>
    </nc>
  </rcc>
  <rcc rId="3138" sId="1">
    <nc r="C721" t="inlineStr">
      <is>
        <t>800</t>
      </is>
    </nc>
  </rcc>
  <rcc rId="3139" sId="1" xfDxf="1" dxf="1">
    <nc r="A719" t="inlineStr">
      <is>
        <t>Расходы на исполнение судебных актов по обращению взыскания на средства  бюджета муниципального образования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0" sId="1" xfDxf="1" dxf="1">
    <nc r="A720" t="inlineStr">
      <is>
        <t>Прочие выплаты по обязательствам муниципального образования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1" sId="1" xfDxf="1" dxf="1">
    <nc r="A721" t="inlineStr">
      <is>
        <t>Иные бюджетные ассигнования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2" sId="1" xfDxf="1" dxf="1">
    <nc r="A722" t="inlineStr">
      <is>
        <t>Исполнение судебных актов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3" sId="1" xfDxf="1" dxf="1">
    <nc r="A723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719:F719" start="0" length="2147483647">
    <dxf>
      <font>
        <b/>
      </font>
    </dxf>
  </rfmt>
  <rfmt sheetId="1" sqref="A719:F719" start="0" length="2147483647">
    <dxf>
      <font>
        <i/>
      </font>
    </dxf>
  </rfmt>
  <rfmt sheetId="1" sqref="A719:XFD723">
    <dxf>
      <fill>
        <patternFill patternType="solid">
          <bgColor theme="6" tint="0.59999389629810485"/>
        </patternFill>
      </fill>
    </dxf>
  </rfmt>
  <rcc rId="3144" sId="1">
    <nc r="D722">
      <f>D723</f>
    </nc>
  </rcc>
  <rcc rId="3145" sId="1">
    <nc r="E722">
      <f>E723</f>
    </nc>
  </rcc>
  <rcc rId="3146" sId="1">
    <nc r="F722">
      <f>F723</f>
    </nc>
  </rcc>
  <rcc rId="3147" sId="1">
    <nc r="D721">
      <f>D722</f>
    </nc>
  </rcc>
  <rcc rId="3148" sId="1">
    <nc r="E721">
      <f>E722</f>
    </nc>
  </rcc>
  <rcc rId="3149" sId="1">
    <nc r="F721">
      <f>F722</f>
    </nc>
  </rcc>
  <rcc rId="3150" sId="1">
    <nc r="D720">
      <f>D721</f>
    </nc>
  </rcc>
  <rcc rId="3151" sId="1">
    <nc r="E720">
      <f>E721</f>
    </nc>
  </rcc>
  <rcc rId="3152" sId="1">
    <nc r="F720">
      <f>F721</f>
    </nc>
  </rcc>
  <rcc rId="3153" sId="1">
    <nc r="D719">
      <f>D720</f>
    </nc>
  </rcc>
  <rcc rId="3154" sId="1">
    <nc r="E719">
      <f>E720</f>
    </nc>
  </rcc>
  <rcc rId="3155" sId="1">
    <nc r="F719">
      <f>F720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7" sId="1" numFmtId="34">
    <oc r="D117">
      <v>63586555.200000003</v>
    </oc>
    <nc r="D117">
      <f>63586555.2+3346660.8</f>
    </nc>
  </rcc>
  <rcc rId="7178" sId="1" numFmtId="34">
    <oc r="E117">
      <v>62577244.799999997</v>
    </oc>
    <nc r="E117">
      <f>62577244.8+3027931.2</f>
    </nc>
  </rcc>
  <rcc rId="7179" sId="1" numFmtId="34">
    <oc r="F117">
      <v>61820262</v>
    </oc>
    <nc r="F117">
      <f>61820262+2988090</f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0" sId="1" numFmtId="34">
    <oc r="D113">
      <v>4443457.79</v>
    </oc>
    <nc r="D113">
      <f>4443457.79-33325.93</f>
    </nc>
  </rcc>
  <rcc rId="7181" sId="1" numFmtId="34">
    <oc r="E113">
      <v>5315495.72</v>
    </oc>
    <nc r="E113">
      <f>5315495.72-872037.93</f>
    </nc>
  </rcc>
  <rcc rId="7182" sId="1" numFmtId="34">
    <oc r="F113">
      <v>5315495.72</v>
    </oc>
    <nc r="F113">
      <f>5315495.72-872037.93</f>
    </nc>
  </rcc>
  <rcv guid="{D9B90A86-BE39-4FED-8226-084809D277F3}" action="delete"/>
  <rdn rId="0" localSheetId="1" customView="1" name="Z_D9B90A86_BE39_4FED_8226_084809D277F3_.wvu.PrintArea" hidden="1" oldHidden="1">
    <formula>'программы '!$A$1:$F$660</formula>
    <oldFormula>'программы '!$A$1:$F$660</oldFormula>
  </rdn>
  <rdn rId="0" localSheetId="1" customView="1" name="Z_D9B90A86_BE39_4FED_8226_084809D277F3_.wvu.FilterData" hidden="1" oldHidden="1">
    <formula>'программы '!$A$11:$F$267</formula>
    <oldFormula>'программы '!$A$11:$F$267</oldFormula>
  </rdn>
  <rcv guid="{D9B90A86-BE39-4FED-8226-084809D277F3}" action="add"/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85" sId="1" ref="A104:XFD104" action="insertRow">
    <undo index="0" exp="area" ref3D="1" dr="$A$225:$XFD$229" dn="Z_30E81E54_DD45_4653_9DCD_548F6723F554_.wvu.Rows" sId="1"/>
  </rrc>
  <rrc rId="7186" sId="1" ref="A104:XFD104" action="insertRow">
    <undo index="0" exp="area" ref3D="1" dr="$A$226:$XFD$230" dn="Z_30E81E54_DD45_4653_9DCD_548F6723F554_.wvu.Rows" sId="1"/>
  </rrc>
  <rrc rId="7187" sId="1" ref="A104:XFD104" action="insertRow">
    <undo index="0" exp="area" ref3D="1" dr="$A$227:$XFD$231" dn="Z_30E81E54_DD45_4653_9DCD_548F6723F554_.wvu.Rows" sId="1"/>
  </rrc>
  <rrc rId="7188" sId="1" ref="A105:XFD105" action="insertRow">
    <undo index="0" exp="area" ref3D="1" dr="$A$228:$XFD$232" dn="Z_30E81E54_DD45_4653_9DCD_548F6723F554_.wvu.Rows" sId="1"/>
  </rrc>
  <rcc rId="7189" sId="1" xfDxf="1" dxf="1">
    <nc r="B107" t="inlineStr">
      <is>
        <t>03 2 00 R3043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7190" sId="1" xfDxf="1" dxf="1">
    <nc r="B106" t="inlineStr">
      <is>
        <t>03 2 00 R3043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7191" sId="1" xfDxf="1" dxf="1">
    <nc r="B105" t="inlineStr">
      <is>
        <t>03 2 00 R3043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7192" sId="1" xfDxf="1" dxf="1">
    <nc r="B104" t="inlineStr">
      <is>
        <t>03 2 00 R3043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7193" sId="1">
    <nc r="C107">
      <v>612</v>
    </nc>
  </rcc>
  <rcc rId="7194" sId="1">
    <nc r="C106">
      <v>610</v>
    </nc>
  </rcc>
  <rcc rId="7195" sId="1">
    <nc r="C105">
      <v>600</v>
    </nc>
  </rcc>
  <rcc rId="7196" sId="1" xfDxf="1" dxf="1">
    <nc r="A107" t="inlineStr">
      <is>
        <t>Субсидии бюджетным учреждениям на  иные цели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97" sId="1" xfDxf="1" dxf="1">
    <nc r="A106" t="inlineStr">
      <is>
        <t>Субсидии бюджетным учреждениям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98" sId="1">
    <nc r="A105" t="inlineStr">
      <is>
        <t>Предоставление субсидий бюджетным, автономным учреждениям и иным некоммерческим организациям</t>
      </is>
    </nc>
  </rcc>
  <rcc rId="7199" sId="1">
    <nc r="A104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    </is>
    </nc>
  </rcc>
  <rcc rId="7200" sId="1">
    <nc r="D106">
      <f>D107</f>
    </nc>
  </rcc>
  <rcc rId="7201" sId="1">
    <nc r="E106">
      <f>E107</f>
    </nc>
  </rcc>
  <rcc rId="7202" sId="1">
    <nc r="F106">
      <f>F107</f>
    </nc>
  </rcc>
  <rcc rId="7203" sId="1">
    <nc r="D104">
      <f>D105</f>
    </nc>
  </rcc>
  <rcc rId="7204" sId="1">
    <nc r="E104">
      <f>E105</f>
    </nc>
  </rcc>
  <rcc rId="7205" sId="1">
    <nc r="F104">
      <f>F105</f>
    </nc>
  </rcc>
  <rcc rId="7206" sId="1">
    <nc r="D105">
      <f>D106</f>
    </nc>
  </rcc>
  <rcc rId="7207" sId="1">
    <nc r="E105">
      <f>E106</f>
    </nc>
  </rcc>
  <rcc rId="7208" sId="1">
    <nc r="F105">
      <f>F106</f>
    </nc>
  </rcc>
  <rcc rId="7209" sId="1">
    <oc r="D62">
      <f>D63+D67+D71+D80+D96+D100+D84+D92+D88+D113+D76+D108</f>
    </oc>
    <nc r="D62">
      <f>D63+D67+D71+D80+D96+D100+D84+D92+D88+D113+D76+D108+D104</f>
    </nc>
  </rcc>
  <rcc rId="7210" sId="1">
    <oc r="E62">
      <f>E63+E67+E71+E80+E96+E100+E84+E92+E88+E113+E76+E108</f>
    </oc>
    <nc r="E62">
      <f>E63+E67+E71+E80+E96+E100+E84+E92+E88+E113+E76+E108+E104</f>
    </nc>
  </rcc>
  <rcc rId="7211" sId="1">
    <oc r="F62">
      <f>F63+F67+F71+F80+F96+F100+F84+F92+F88+F113+F76+F108</f>
    </oc>
    <nc r="F62">
      <f>F63+F67+F71+F80+F96+F100+F84+F92+F88+F113+F76+F108+F104</f>
    </nc>
  </rcc>
  <rcc rId="7212" sId="1" numFmtId="34">
    <nc r="D107">
      <v>25486711.93</v>
    </nc>
  </rcc>
  <rcc rId="7213" sId="1" numFmtId="34">
    <nc r="E107">
      <v>21987743.629999999</v>
    </nc>
  </rcc>
  <rcc rId="7214" sId="1" numFmtId="34">
    <nc r="F107">
      <v>20111634.239999998</v>
    </nc>
  </rcc>
  <rcc rId="7215" sId="1" numFmtId="34">
    <oc r="D103">
      <v>25802139.920000002</v>
    </oc>
    <nc r="D103">
      <f>25802139.92-25776337.78</f>
    </nc>
  </rcc>
  <rcc rId="7216" sId="1" numFmtId="34">
    <oc r="E103">
      <v>22270154.849999998</v>
    </oc>
    <nc r="E103">
      <f>22270154.85-22247884.7</f>
    </nc>
  </rcc>
  <rcc rId="7217" sId="1" numFmtId="34">
    <oc r="F103">
      <v>20858918.920000002</v>
    </oc>
    <nc r="F103">
      <f>20858918.92-20838060</f>
    </nc>
  </rcc>
  <rcv guid="{D9B90A86-BE39-4FED-8226-084809D277F3}" action="delete"/>
  <rdn rId="0" localSheetId="1" customView="1" name="Z_D9B90A86_BE39_4FED_8226_084809D277F3_.wvu.PrintArea" hidden="1" oldHidden="1">
    <formula>'программы '!$A$1:$F$664</formula>
    <oldFormula>'программы '!$A$1:$F$664</oldFormula>
  </rdn>
  <rdn rId="0" localSheetId="1" customView="1" name="Z_D9B90A86_BE39_4FED_8226_084809D277F3_.wvu.FilterData" hidden="1" oldHidden="1">
    <formula>'программы '!$A$11:$F$271</formula>
    <oldFormula>'программы '!$A$11:$F$271</oldFormula>
  </rdn>
  <rcv guid="{D9B90A86-BE39-4FED-8226-084809D277F3}" action="add"/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20" sId="1" ref="A114:XFD114" action="insertRow">
    <undo index="0" exp="area" ref3D="1" dr="$A$229:$XFD$233" dn="Z_30E81E54_DD45_4653_9DCD_548F6723F554_.wvu.Rows" sId="1"/>
  </rrc>
  <rrc rId="7221" sId="1" ref="A114:XFD114" action="insertRow">
    <undo index="0" exp="area" ref3D="1" dr="$A$230:$XFD$234" dn="Z_30E81E54_DD45_4653_9DCD_548F6723F554_.wvu.Rows" sId="1"/>
  </rrc>
  <rrc rId="7222" sId="1" ref="A114:XFD114" action="insertRow">
    <undo index="0" exp="area" ref3D="1" dr="$A$231:$XFD$235" dn="Z_30E81E54_DD45_4653_9DCD_548F6723F554_.wvu.Rows" sId="1"/>
  </rrc>
  <rrc rId="7223" sId="1" ref="A115:XFD115" action="insertRow">
    <undo index="0" exp="area" ref3D="1" dr="$A$232:$XFD$236" dn="Z_30E81E54_DD45_4653_9DCD_548F6723F554_.wvu.Rows" sId="1"/>
  </rrc>
  <rcc rId="7224" sId="1" xfDxf="1" s="1" dxf="1">
    <nc r="B117" t="inlineStr">
      <is>
        <t>03 2 Ю6 50502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7225" sId="1" xfDxf="1" s="1" dxf="1">
    <nc r="B116" t="inlineStr">
      <is>
        <t>03 2 Ю6 50502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7226" sId="1" xfDxf="1" s="1" dxf="1">
    <nc r="B115" t="inlineStr">
      <is>
        <t>03 2 Ю6 50502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7227" sId="1" xfDxf="1" s="1" dxf="1">
    <nc r="B114" t="inlineStr">
      <is>
        <t>03 2 Ю6 50502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ndxf>
  </rcc>
  <rcc rId="7228" sId="1" numFmtId="34">
    <nc r="C117">
      <v>612</v>
    </nc>
  </rcc>
  <rcc rId="7229" sId="1" numFmtId="34">
    <nc r="C116">
      <v>610</v>
    </nc>
  </rcc>
  <rcc rId="7230" sId="1" numFmtId="34">
    <nc r="C115">
      <v>600</v>
    </nc>
  </rcc>
  <rcc rId="7231" sId="1">
    <nc r="D116">
      <f>D117</f>
    </nc>
  </rcc>
  <rcc rId="7232" sId="1">
    <nc r="E116">
      <f>E117</f>
    </nc>
  </rcc>
  <rcc rId="7233" sId="1">
    <nc r="F116">
      <f>F117</f>
    </nc>
  </rcc>
  <rcc rId="7234" sId="1">
    <nc r="D114">
      <f>D115</f>
    </nc>
  </rcc>
  <rcc rId="7235" sId="1">
    <nc r="E114">
      <f>E115</f>
    </nc>
  </rcc>
  <rcc rId="7236" sId="1">
    <nc r="F114">
      <f>F115</f>
    </nc>
  </rcc>
  <rcc rId="7237" sId="1">
    <nc r="D115">
      <f>D116</f>
    </nc>
  </rcc>
  <rcc rId="7238" sId="1">
    <nc r="E115">
      <f>E116</f>
    </nc>
  </rcc>
  <rcc rId="7239" sId="1">
    <nc r="F115">
      <f>F116</f>
    </nc>
  </rcc>
  <rcc rId="7240" sId="1">
    <oc r="D113">
      <f>D122+D118</f>
    </oc>
    <nc r="D113">
      <f>D122+D118+D114</f>
    </nc>
  </rcc>
  <rcc rId="7241" sId="1">
    <oc r="E113">
      <f>E122+E118</f>
    </oc>
    <nc r="E113">
      <f>E122+E118+E114</f>
    </nc>
  </rcc>
  <rcc rId="7242" sId="1">
    <oc r="F113">
      <f>F122+F118</f>
    </oc>
    <nc r="F113">
      <f>F122+F118+F114</f>
    </nc>
  </rcc>
  <rcc rId="7243" sId="1">
    <nc r="A117" t="inlineStr">
      <is>
        <t>Субсидии бюджетным учреждениям на  иные цели</t>
      </is>
    </nc>
  </rcc>
  <rcc rId="7244" sId="1">
    <nc r="A116" t="inlineStr">
      <is>
        <t>Субсидии бюджетным учреждениям</t>
      </is>
    </nc>
  </rcc>
  <rcc rId="7245" sId="1">
    <nc r="A115" t="inlineStr">
      <is>
        <t>Предоставление субсидий бюджетным, автономным учреждениям и иным некоммерческим организациям</t>
      </is>
    </nc>
  </rcc>
  <rcc rId="7246" sId="1">
    <nc r="A114" t="inlineStr">
      <is>
    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'!$A$1:$F$668</formula>
    <oldFormula>'программы '!$A$1:$F$668</oldFormula>
  </rdn>
  <rdn rId="0" localSheetId="1" customView="1" name="Z_D9B90A86_BE39_4FED_8226_084809D277F3_.wvu.FilterData" hidden="1" oldHidden="1">
    <formula>'программы '!$A$11:$F$275</formula>
    <oldFormula>'программы '!$A$11:$F$275</oldFormula>
  </rdn>
  <rcv guid="{D9B90A86-BE39-4FED-8226-084809D277F3}" action="add"/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49" sId="1" numFmtId="34">
    <nc r="D117">
      <v>1460844</v>
    </nc>
  </rcc>
  <rcc rId="7250" sId="1" numFmtId="34">
    <nc r="E117">
      <v>1460844</v>
    </nc>
  </rcc>
  <rcc rId="7251" sId="1" numFmtId="34">
    <nc r="F117">
      <v>1460844</v>
    </nc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52" sId="1">
    <oc r="D103">
      <f>25802139.92-25776337.78</f>
    </oc>
    <nc r="D103">
      <f>25802139.92-25776337.78-25802.14</f>
    </nc>
  </rcc>
  <rcc rId="7253" sId="1">
    <oc r="E103">
      <f>22270154.85-22247884.7</f>
    </oc>
    <nc r="E103">
      <f>22270154.85-22247884.7-22270.15</f>
    </nc>
  </rcc>
  <rcc rId="7254" sId="1">
    <oc r="F103">
      <f>20858918.92-20838060</f>
    </oc>
    <nc r="F103">
      <f>20858918.92-20838060-20858.92</f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55" sId="1">
    <oc r="D530">
      <f>5491817.59-40000+40000</f>
    </oc>
    <nc r="D530">
      <f>5491817.59-40000+40000+25802.14</f>
    </nc>
  </rcc>
  <rcc rId="7256" sId="1" numFmtId="34">
    <oc r="E530">
      <v>1000000</v>
    </oc>
    <nc r="E530">
      <f>1000000+22270.15</f>
    </nc>
  </rcc>
  <rcc rId="7257" sId="1" numFmtId="34">
    <oc r="F530">
      <v>1000000</v>
    </oc>
    <nc r="F530">
      <f>1000000+20858.92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58" sId="1" numFmtId="34">
    <oc r="D216">
      <v>409480</v>
    </oc>
    <nc r="D216">
      <f>409480+1987045.25</f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59" sId="1" numFmtId="34">
    <oc r="D587">
      <v>350000</v>
    </oc>
    <nc r="D587">
      <f>350000-11426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60" sId="1" numFmtId="34">
    <oc r="D207">
      <v>5142000</v>
    </oc>
    <nc r="D207">
      <f>5142000-1000000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6" sId="1">
    <oc r="D554">
      <f>D555+D560+D578+D595+D641+D647+D657+D669+D674+D724+D758+D771+D781+D789</f>
    </oc>
    <nc r="D554">
      <f>D555+D560+D578+D595+D641+D647+D657+D669+D674+D724+D758+D771+D781+D789+D719</f>
    </nc>
  </rcc>
  <rcc rId="3157" sId="1">
    <oc r="E554">
      <f>E555+E560+E578+E595+E641+E647+E657+E669+E674+E724+E758+E771+E781+E789</f>
    </oc>
    <nc r="E554">
      <f>E555+E560+E578+E595+E641+E647+E657+E669+E674+E724+E758+E771+E781+E789+E719</f>
    </nc>
  </rcc>
  <rcc rId="3158" sId="1">
    <oc r="F554">
      <f>F555+F560+F578+F595+F641+F647+F657+F669+F674+F724+F758+F771+F781+F789</f>
    </oc>
    <nc r="F554">
      <f>F555+F560+F578+F595+F641+F647+F657+F669+F674+F724+F758+F771+F781+F789+F719</f>
    </nc>
  </rcc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61" sId="1" ref="A176:XFD176" action="insertRow">
    <undo index="0" exp="area" ref3D="1" dr="$A$233:$XFD$237" dn="Z_30E81E54_DD45_4653_9DCD_548F6723F554_.wvu.Rows" sId="1"/>
  </rrc>
  <rrc rId="7262" sId="1" ref="A176:XFD176" action="insertRow">
    <undo index="0" exp="area" ref3D="1" dr="$A$234:$XFD$238" dn="Z_30E81E54_DD45_4653_9DCD_548F6723F554_.wvu.Rows" sId="1"/>
  </rrc>
  <rrc rId="7263" sId="1" ref="A176:XFD176" action="insertRow">
    <undo index="0" exp="area" ref3D="1" dr="$A$235:$XFD$239" dn="Z_30E81E54_DD45_4653_9DCD_548F6723F554_.wvu.Rows" sId="1"/>
  </rrc>
  <rrc rId="7264" sId="1" ref="A176:XFD176" action="insertRow">
    <undo index="0" exp="area" ref3D="1" dr="$A$236:$XFD$240" dn="Z_30E81E54_DD45_4653_9DCD_548F6723F554_.wvu.Rows" sId="1"/>
  </rrc>
  <rfmt sheetId="1" sqref="A176:XFD179" start="0" length="2147483647">
    <dxf>
      <font>
        <b val="0"/>
      </font>
    </dxf>
  </rfmt>
  <rcc rId="7265" sId="1">
    <nc r="C179">
      <v>243</v>
    </nc>
  </rcc>
  <rcc rId="7266" sId="1">
    <nc r="C178">
      <v>240</v>
    </nc>
  </rcc>
  <rcc rId="7267" sId="1">
    <nc r="C177">
      <v>200</v>
    </nc>
  </rcc>
  <rcc rId="7268" sId="1">
    <nc r="B179" t="inlineStr">
      <is>
        <t>03 5 00 84941</t>
      </is>
    </nc>
  </rcc>
  <rcc rId="7269" sId="1">
    <nc r="B178" t="inlineStr">
      <is>
        <t>03 5 00 84941</t>
      </is>
    </nc>
  </rcc>
  <rcc rId="7270" sId="1">
    <nc r="B177" t="inlineStr">
      <is>
        <t>03 5 00 84941</t>
      </is>
    </nc>
  </rcc>
  <rcc rId="7271" sId="1">
    <nc r="B176" t="inlineStr">
      <is>
        <t>03 5 00 84941</t>
      </is>
    </nc>
  </rcc>
  <rcc rId="7272" sId="1">
    <nc r="D178">
      <f>D179</f>
    </nc>
  </rcc>
  <rcc rId="7273" sId="1">
    <nc r="E178">
      <f>E179</f>
    </nc>
  </rcc>
  <rcc rId="7274" sId="1">
    <nc r="F178">
      <f>F179</f>
    </nc>
  </rcc>
  <rcc rId="7275" sId="1">
    <nc r="D176">
      <f>D177</f>
    </nc>
  </rcc>
  <rcc rId="7276" sId="1">
    <nc r="E176">
      <f>E177</f>
    </nc>
  </rcc>
  <rcc rId="7277" sId="1">
    <nc r="F176">
      <f>F177</f>
    </nc>
  </rcc>
  <rcc rId="7278" sId="1">
    <nc r="D177">
      <f>D178</f>
    </nc>
  </rcc>
  <rcc rId="7279" sId="1">
    <nc r="E177">
      <f>E178</f>
    </nc>
  </rcc>
  <rcc rId="7280" sId="1">
    <nc r="F177">
      <f>F178</f>
    </nc>
  </rcc>
  <rcc rId="7281" sId="1">
    <oc r="D175">
      <f>D187+D191+D180</f>
    </oc>
    <nc r="D175">
      <f>D187+D191+D180+D176</f>
    </nc>
  </rcc>
  <rcc rId="7282" sId="1">
    <oc r="E175">
      <f>E187+E191+E180</f>
    </oc>
    <nc r="E175">
      <f>E187+E191+E180+E176</f>
    </nc>
  </rcc>
  <rcc rId="7283" sId="1">
    <oc r="F175">
      <f>F187+F191+F180</f>
    </oc>
    <nc r="F175">
      <f>F187+F191+F180+F176</f>
    </nc>
  </rcc>
  <rcc rId="7284" sId="1" odxf="1" dxf="1">
    <nc r="A179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7285" sId="1">
    <nc r="A178" t="inlineStr">
      <is>
        <t>Иные закупки товаров, работ и услуг для обеспечения государственных (муниципальных) нужд</t>
      </is>
    </nc>
  </rcc>
  <rcc rId="7286" sId="1">
    <nc r="A177" t="inlineStr">
      <is>
        <t>Закупка товаров, работ и услуг для обеспечения государственных (муниципальных) нужд</t>
      </is>
    </nc>
  </rcc>
  <rcc rId="7287" sId="1">
    <nc r="A176" t="inlineStr">
      <is>
    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организация отдыха детей и их оздоровления (местный бюджет)</t>
      </is>
    </nc>
  </rcc>
  <rcc rId="7288" sId="1" numFmtId="34">
    <nc r="D179">
      <v>945393.45</v>
    </nc>
  </rcc>
  <rcv guid="{D9B90A86-BE39-4FED-8226-084809D277F3}" action="delete"/>
  <rdn rId="0" localSheetId="1" customView="1" name="Z_D9B90A86_BE39_4FED_8226_084809D277F3_.wvu.PrintArea" hidden="1" oldHidden="1">
    <formula>'программы '!$A$1:$F$672</formula>
    <oldFormula>'программы '!$A$1:$F$672</oldFormula>
  </rdn>
  <rdn rId="0" localSheetId="1" customView="1" name="Z_D9B90A86_BE39_4FED_8226_084809D277F3_.wvu.FilterData" hidden="1" oldHidden="1">
    <formula>'программы '!$A$11:$F$279</formula>
    <oldFormula>'программы '!$A$11:$F$279</oldFormula>
  </rdn>
  <rcv guid="{D9B90A86-BE39-4FED-8226-084809D277F3}" action="add"/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91" sId="1" numFmtId="34">
    <oc r="D270">
      <v>1252060.8600000001</v>
    </oc>
    <nc r="D270">
      <v>0</v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92" sId="1" ref="A442:XFD442" action="insertRow"/>
  <rrc rId="7293" sId="1" ref="A442:XFD442" action="insertRow"/>
  <rrc rId="7294" sId="1" ref="A442:XFD442" action="insertRow"/>
  <rcc rId="7295" sId="1">
    <nc r="C444">
      <v>243</v>
    </nc>
  </rcc>
  <rfmt sheetId="1" sqref="A442:XFD444" start="0" length="2147483647">
    <dxf>
      <font>
        <i/>
      </font>
    </dxf>
  </rfmt>
  <rfmt sheetId="1" sqref="A442:XFD444" start="0" length="2147483647">
    <dxf>
      <font>
        <i val="0"/>
      </font>
    </dxf>
  </rfmt>
  <rfmt sheetId="1" sqref="A442:XFD444" start="0" length="2147483647">
    <dxf>
      <font>
        <i/>
      </font>
    </dxf>
  </rfmt>
  <rfmt sheetId="1" sqref="A442:XFD444" start="0" length="2147483647">
    <dxf>
      <font>
        <i val="0"/>
      </font>
    </dxf>
  </rfmt>
  <rfmt sheetId="1" sqref="A442:XFD444" start="0" length="2147483647">
    <dxf>
      <font>
        <b/>
      </font>
    </dxf>
  </rfmt>
  <rfmt sheetId="1" sqref="A442:XFD444" start="0" length="2147483647">
    <dxf>
      <font>
        <b val="0"/>
      </font>
    </dxf>
  </rfmt>
  <rcc rId="7296" sId="1">
    <nc r="C443">
      <v>240</v>
    </nc>
  </rcc>
  <rcc rId="7297" sId="1">
    <nc r="C442">
      <v>200</v>
    </nc>
  </rcc>
  <rcc rId="7298" sId="1">
    <nc r="B444" t="inlineStr">
      <is>
        <t>27 0 00 83610</t>
      </is>
    </nc>
  </rcc>
  <rcc rId="7299" sId="1" xfDxf="1" dxf="1">
    <nc r="B443" t="inlineStr">
      <is>
        <t>27 0 00 83610</t>
      </is>
    </nc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00" sId="1" xfDxf="1" dxf="1">
    <nc r="B442" t="inlineStr">
      <is>
        <t>27 0 00 83610</t>
      </is>
    </nc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01" sId="1" odxf="1" dxf="1">
    <nc r="A444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7302" sId="1">
    <nc r="A443" t="inlineStr">
      <is>
        <t>Иные закупки товаров, работ и услуг для обеспечения государственных (муниципальных) нужд</t>
      </is>
    </nc>
  </rcc>
  <rcc rId="7303" sId="1">
    <nc r="A442" t="inlineStr">
      <is>
        <t>Закупка товаров, работ и услуг для обеспечения государственных (муниципальных) нужд</t>
      </is>
    </nc>
  </rcc>
  <rcc rId="7304" sId="1">
    <nc r="D443">
      <f>D444</f>
    </nc>
  </rcc>
  <rcc rId="7305" sId="1">
    <nc r="E443">
      <f>E444</f>
    </nc>
  </rcc>
  <rcc rId="7306" sId="1">
    <nc r="F443">
      <f>F444</f>
    </nc>
  </rcc>
  <rcc rId="7307" sId="1">
    <nc r="D442">
      <f>D443</f>
    </nc>
  </rcc>
  <rcc rId="7308" sId="1">
    <nc r="E442">
      <f>E443</f>
    </nc>
  </rcc>
  <rcc rId="7309" sId="1">
    <nc r="F442">
      <f>F443</f>
    </nc>
  </rcc>
  <rcc rId="7310" sId="1">
    <oc r="D441">
      <f>D445</f>
    </oc>
    <nc r="D441">
      <f>D445+D442</f>
    </nc>
  </rcc>
  <rcc rId="7311" sId="1" odxf="1" dxf="1">
    <oc r="E441">
      <f>E445</f>
    </oc>
    <nc r="E441">
      <f>E445+E442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7312" sId="1" odxf="1" dxf="1">
    <oc r="F441">
      <f>F445</f>
    </oc>
    <nc r="F441">
      <f>F445+F442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7313" sId="1" numFmtId="34">
    <nc r="D444">
      <v>6579503.0800000001</v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4" sId="1" numFmtId="34">
    <oc r="D396">
      <v>3723000</v>
    </oc>
    <nc r="D396">
      <v>858626.15</v>
    </nc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15" sId="1" ref="A81:XFD81" action="insertRow">
    <undo index="0" exp="area" ref3D="1" dr="$A$237:$XFD$241" dn="Z_30E81E54_DD45_4653_9DCD_548F6723F554_.wvu.Rows" sId="1"/>
  </rrc>
  <rrc rId="7316" sId="1" ref="A81:XFD81" action="insertRow">
    <undo index="0" exp="area" ref3D="1" dr="$A$238:$XFD$242" dn="Z_30E81E54_DD45_4653_9DCD_548F6723F554_.wvu.Rows" sId="1"/>
  </rrc>
  <rrc rId="7317" sId="1" ref="A81:XFD81" action="insertRow">
    <undo index="0" exp="area" ref3D="1" dr="$A$239:$XFD$243" dn="Z_30E81E54_DD45_4653_9DCD_548F6723F554_.wvu.Rows" sId="1"/>
  </rrc>
  <rcc rId="7318" sId="1">
    <nc r="C83">
      <v>243</v>
    </nc>
  </rcc>
  <rcc rId="7319" sId="1">
    <nc r="C82">
      <v>240</v>
    </nc>
  </rcc>
  <rcc rId="7320" sId="1">
    <nc r="C81">
      <v>200</v>
    </nc>
  </rcc>
  <rcc rId="7321" sId="1">
    <nc r="B83" t="inlineStr">
      <is>
        <t>03 2 00 80450</t>
      </is>
    </nc>
  </rcc>
  <rcc rId="7322" sId="1">
    <nc r="B82" t="inlineStr">
      <is>
        <t>03 2 00 80450</t>
      </is>
    </nc>
  </rcc>
  <rcc rId="7323" sId="1">
    <nc r="B81" t="inlineStr">
      <is>
        <t>03 2 00 80450</t>
      </is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24" sId="1" odxf="1" dxf="1">
    <nc r="A83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7325" sId="1">
    <nc r="A82" t="inlineStr">
      <is>
        <t>Иные закупки товаров,работ и услуг для обеспечения государственных (муниципальных) нужд</t>
      </is>
    </nc>
  </rcc>
  <rcc rId="7326" sId="1">
    <nc r="A81" t="inlineStr">
      <is>
        <t>Закупка товаров, работ и услуг для обеспечения государственных (муниципальных) нужд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'!$A$1:$F$678</formula>
    <oldFormula>'программы '!$A$1:$F$678</oldFormula>
  </rdn>
  <rdn rId="0" localSheetId="1" customView="1" name="Z_D9B90A86_BE39_4FED_8226_084809D277F3_.wvu.FilterData" hidden="1" oldHidden="1">
    <formula>'программы '!$A$11:$F$282</formula>
    <oldFormula>'программы '!$A$11:$F$282</oldFormula>
  </rdn>
  <rcv guid="{D9B90A86-BE39-4FED-8226-084809D277F3}" action="add"/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1:XFD83">
    <dxf>
      <fill>
        <patternFill>
          <bgColor rgb="FFFFFF00"/>
        </patternFill>
      </fill>
    </dxf>
  </rfmt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29" sId="1">
    <oc r="D86">
      <f>14141540</f>
    </oc>
    <nc r="D86">
      <f>14141540-3000000</f>
    </nc>
  </rcc>
  <rcc rId="7330" sId="1" numFmtId="34">
    <nc r="D83">
      <v>2011000</v>
    </nc>
  </rcc>
  <rcc rId="7331" sId="1">
    <nc r="D82">
      <f>D83</f>
    </nc>
  </rcc>
  <rcc rId="7332" sId="1">
    <nc r="E82">
      <f>E83</f>
    </nc>
  </rcc>
  <rcc rId="7333" sId="1">
    <nc r="F82">
      <f>F83</f>
    </nc>
  </rcc>
  <rcc rId="7334" sId="1">
    <nc r="D81">
      <f>D82</f>
    </nc>
  </rcc>
  <rcc rId="7335" sId="1">
    <nc r="E81">
      <f>E82</f>
    </nc>
  </rcc>
  <rcc rId="7336" sId="1">
    <nc r="F81">
      <f>F82</f>
    </nc>
  </rcc>
  <rcc rId="7337" sId="1" numFmtId="34">
    <nc r="E83">
      <v>0</v>
    </nc>
  </rcc>
  <rcc rId="7338" sId="1" numFmtId="34">
    <nc r="F83">
      <v>0</v>
    </nc>
  </rcc>
  <rcc rId="7339" sId="1">
    <oc r="D80">
      <f>D85</f>
    </oc>
    <nc r="D80">
      <f>D85+D81</f>
    </nc>
  </rcc>
  <rcc rId="7340" sId="1">
    <oc r="E80">
      <f>E85</f>
    </oc>
    <nc r="E80">
      <f>E85+E81</f>
    </nc>
  </rcc>
  <rcc rId="7341" sId="1">
    <oc r="F80">
      <f>F85</f>
    </oc>
    <nc r="F80">
      <f>F85+F81</f>
    </nc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42" sId="1" ref="A2:XFD2" action="insertRow">
    <undo index="0" exp="area" ref3D="1" dr="$A$240:$XFD$244" dn="Z_30E81E54_DD45_4653_9DCD_548F6723F554_.wvu.Rows" sId="1"/>
  </rrc>
  <rrc rId="7343" sId="1" ref="A2:XFD2" action="insertRow">
    <undo index="0" exp="area" ref3D="1" dr="$A$241:$XFD$245" dn="Z_30E81E54_DD45_4653_9DCD_548F6723F554_.wvu.Rows" sId="1"/>
  </rrc>
  <rrc rId="7344" sId="1" ref="A2:XFD2" action="insertRow">
    <undo index="0" exp="area" ref3D="1" dr="$A$242:$XFD$246" dn="Z_30E81E54_DD45_4653_9DCD_548F6723F554_.wvu.Rows" sId="1"/>
  </rrc>
  <rrc rId="7345" sId="1" ref="A2:XFD2" action="insertRow">
    <undo index="0" exp="area" ref3D="1" dr="$A$243:$XFD$247" dn="Z_30E81E54_DD45_4653_9DCD_548F6723F554_.wvu.Rows" sId="1"/>
  </rrc>
  <rrc rId="7346" sId="1" ref="A2:XFD2" action="insertRow">
    <undo index="0" exp="area" ref3D="1" dr="$A$244:$XFD$248" dn="Z_30E81E54_DD45_4653_9DCD_548F6723F554_.wvu.Rows" sId="1"/>
  </rrc>
  <rcc rId="7347" sId="1" odxf="1" s="1" dxf="1">
    <nc r="F1" t="inlineStr">
      <is>
        <t xml:space="preserve"> Приложение № 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0" formatCode="General"/>
      <fill>
        <patternFill patternType="solid">
          <bgColor theme="0"/>
        </patternFill>
      </fill>
      <alignment horizontal="right" readingOrder="0"/>
    </ndxf>
  </rcc>
  <rcc rId="7348" sId="1" odxf="1" dxf="1">
    <nc r="F2" t="inlineStr">
      <is>
        <t>к решению собрания депутатов</t>
      </is>
    </nc>
    <odxf>
      <fill>
        <patternFill patternType="none">
          <bgColor indexed="65"/>
        </patternFill>
      </fill>
      <alignment horizontal="general" readingOrder="0"/>
    </odxf>
    <ndxf>
      <fill>
        <patternFill patternType="solid">
          <bgColor theme="0"/>
        </patternFill>
      </fill>
      <alignment horizontal="right" readingOrder="0"/>
    </ndxf>
  </rcc>
  <rcc rId="7349" sId="1" odxf="1" dxf="1">
    <nc r="F3" t="inlineStr">
      <is>
        <t>Плесецкого муниципального округа Архангельской области</t>
      </is>
    </nc>
    <odxf>
      <fill>
        <patternFill patternType="none">
          <bgColor indexed="65"/>
        </patternFill>
      </fill>
      <alignment horizontal="general" readingOrder="0"/>
    </odxf>
    <ndxf>
      <fill>
        <patternFill patternType="solid">
          <bgColor theme="0"/>
        </patternFill>
      </fill>
      <alignment horizontal="right" readingOrder="0"/>
    </ndxf>
  </rcc>
  <rfmt sheetId="1" sqref="F4" start="0" length="0">
    <dxf>
      <fill>
        <patternFill patternType="solid">
          <bgColor theme="0"/>
        </patternFill>
      </fill>
      <alignment horizontal="right" readingOrder="0"/>
    </dxf>
  </rfmt>
  <rcc rId="7350" sId="1">
    <nc r="F4" t="inlineStr">
      <is>
        <t xml:space="preserve">от                  февраля 2025 года №   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'!$A$1:$F$683</formula>
    <oldFormula>'программы '!$A$1:$F$683</oldFormula>
  </rdn>
  <rdn rId="0" localSheetId="1" customView="1" name="Z_D9B90A86_BE39_4FED_8226_084809D277F3_.wvu.FilterData" hidden="1" oldHidden="1">
    <formula>'программы '!$A$16:$F$287</formula>
    <oldFormula>'программы '!$A$16:$F$287</oldFormula>
  </rdn>
  <rcv guid="{D9B90A86-BE39-4FED-8226-084809D277F3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53" sId="1">
    <oc r="F7" t="inlineStr">
      <is>
        <t xml:space="preserve"> Приложение № 5</t>
      </is>
    </oc>
    <nc r="F7" t="inlineStr">
      <is>
        <t xml:space="preserve"> "Приложение № 5</t>
      </is>
    </nc>
  </rcc>
  <rcc rId="7354" sId="1">
    <oc r="F10" t="inlineStr">
      <is>
        <t>от  17  декабря 2024 года № 241</t>
      </is>
    </oc>
    <nc r="F10" t="inlineStr">
      <is>
        <t>от  17  декабря 2024 года № 241"</t>
      </is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9" sId="1" ref="A324:XFD324" action="insertRow"/>
  <rrc rId="3160" sId="1" ref="A324:XFD324" action="insertRow"/>
  <rrc rId="3161" sId="1" ref="A324:XFD324" action="insertRow"/>
  <rrc rId="3162" sId="1" ref="A324:XFD324" action="insertRow"/>
  <rcc rId="3163" sId="1" quotePrefix="1">
    <nc r="C327" t="inlineStr">
      <is>
        <t>244</t>
      </is>
    </nc>
  </rcc>
  <rcc rId="3164" sId="1" quotePrefix="1">
    <nc r="C326" t="inlineStr">
      <is>
        <t>240</t>
      </is>
    </nc>
  </rcc>
  <rcc rId="3165" sId="1" quotePrefix="1">
    <nc r="C325" t="inlineStr">
      <is>
        <t>200</t>
      </is>
    </nc>
  </rcc>
  <rcc rId="3166" sId="1" xfDxf="1" dxf="1">
    <nc r="B324" t="inlineStr">
      <is>
        <t>08 0 00 S9170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67" sId="1" xfDxf="1" dxf="1">
    <nc r="B325" t="inlineStr">
      <is>
        <t>08 0 00 S9170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68" sId="1" xfDxf="1" dxf="1">
    <nc r="B326" t="inlineStr">
      <is>
        <t>08 0 00 S9170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69" sId="1" xfDxf="1" dxf="1">
    <nc r="B327" t="inlineStr">
      <is>
        <t>08 0 00 S9170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70" sId="1" xfDxf="1" dxf="1">
    <nc r="A324" t="inlineStr">
      <is>
        <t>Мероприятия в сфере общественного пассажирского транспорта и транспортной инфраструктуры (содержание и ремонт железнодорожного пути технологической узкоколейной железной дороги "Липаково-Лужма-Сеза")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71" sId="1" xfDxf="1" dxf="1">
    <nc r="A325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72" sId="1" xfDxf="1" dxf="1">
    <nc r="A326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73" sId="1" xfDxf="1" dxf="1">
    <nc r="A327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174" sId="1">
    <nc r="D326">
      <f>D327</f>
    </nc>
  </rcc>
  <rcc rId="3175" sId="1">
    <nc r="E326">
      <f>E327</f>
    </nc>
  </rcc>
  <rcc rId="3176" sId="1">
    <nc r="F326">
      <f>F327</f>
    </nc>
  </rcc>
  <rcc rId="3177" sId="1">
    <nc r="D325">
      <f>D326</f>
    </nc>
  </rcc>
  <rcc rId="3178" sId="1">
    <nc r="E325">
      <f>E326</f>
    </nc>
  </rcc>
  <rcc rId="3179" sId="1">
    <nc r="F325">
      <f>F326</f>
    </nc>
  </rcc>
  <rcc rId="3180" sId="1">
    <nc r="D324">
      <f>D325</f>
    </nc>
  </rcc>
  <rcc rId="3181" sId="1">
    <nc r="E324">
      <f>E325</f>
    </nc>
  </rcc>
  <rcc rId="3182" sId="1">
    <nc r="F324">
      <f>F325</f>
    </nc>
  </rcc>
  <rfmt sheetId="1" sqref="A324:XFD327">
    <dxf>
      <fill>
        <patternFill>
          <bgColor theme="6" tint="0.59999389629810485"/>
        </patternFill>
      </fill>
    </dxf>
  </rfmt>
  <rcc rId="3183" sId="1">
    <oc r="D315">
      <f>D316+D320+D328+D333+D337</f>
    </oc>
    <nc r="D315">
      <f>D316+D320+D328+D333+D337+D324</f>
    </nc>
  </rcc>
  <rcc rId="3184" sId="1">
    <oc r="E315">
      <f>E316+E320+E328+E333+E337</f>
    </oc>
    <nc r="E315">
      <f>E316+E320+E328+E333+E337+E324</f>
    </nc>
  </rcc>
  <rcc rId="3185" sId="1">
    <oc r="F315">
      <f>F316+F320+F328+F333+F337</f>
    </oc>
    <nc r="F315">
      <f>F316+F320+F328+F333+F337+F324</f>
    </nc>
  </rcc>
  <rcv guid="{D9B90A86-BE39-4FED-8226-084809D277F3}" action="delete"/>
  <rdn rId="0" localSheetId="1" customView="1" name="Z_D9B90A86_BE39_4FED_8226_084809D277F3_.wvu.PrintArea" hidden="1" oldHidden="1">
    <formula>'программы '!$A$1:$F$803</formula>
    <oldFormula>'программы '!$A$1:$F$803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'!$A$1:$A$816</formula>
    <oldFormula>'программы '!$A$1:$A$816</oldFormula>
  </rdn>
  <rcv guid="{D9B90A86-BE39-4FED-8226-084809D277F3}" action="add"/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55" sId="1">
    <oc r="D545">
      <f>5491817.59-40000+40000+25802.14</f>
    </oc>
    <nc r="D545">
      <f>5491817.59-40000+25802.14</f>
    </nc>
  </rcc>
  <rrc rId="7356" sId="1" ref="A544:XFD544" action="insertRow"/>
  <rrc rId="7357" sId="1" ref="A544:XFD544" action="insertRow"/>
  <rrc rId="7358" sId="1" ref="A544:XFD544" action="insertRow"/>
  <rcc rId="7359" sId="1">
    <nc r="C546">
      <v>243</v>
    </nc>
  </rcc>
  <rcc rId="7360" sId="1">
    <nc r="C545">
      <v>240</v>
    </nc>
  </rcc>
  <rcc rId="7361" sId="1">
    <nc r="C544">
      <v>200</v>
    </nc>
  </rcc>
  <rcc rId="7362" sId="1">
    <nc r="B546" t="inlineStr">
      <is>
        <t>55 0 00 81400</t>
      </is>
    </nc>
  </rcc>
  <rcc rId="7363" sId="1">
    <nc r="B545" t="inlineStr">
      <is>
        <t>55 0 00 81400</t>
      </is>
    </nc>
  </rcc>
  <rcc rId="7364" sId="1">
    <nc r="B544" t="inlineStr">
      <is>
        <t>55 0 00 81400</t>
      </is>
    </nc>
  </rcc>
  <rcc rId="7365" sId="1" odxf="1" dxf="1">
    <nc r="A546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7366" sId="1">
    <nc r="A545" t="inlineStr">
      <is>
        <t>Иные закупки товаров,работ и услуг для обеспечения государственных (муниципальных) нужд</t>
      </is>
    </nc>
  </rcc>
  <rcc rId="7367" sId="1">
    <nc r="A544" t="inlineStr">
      <is>
        <t>Закупка товаров, работ и услуг для обеспечения государственных (муниципальных) нужд</t>
      </is>
    </nc>
  </rcc>
  <rcc rId="7368" sId="1">
    <nc r="D545">
      <f>D546</f>
    </nc>
  </rcc>
  <rcc rId="7369" sId="1">
    <nc r="E545">
      <f>E546</f>
    </nc>
  </rcc>
  <rcc rId="7370" sId="1">
    <nc r="F545">
      <f>F546</f>
    </nc>
  </rcc>
  <rcc rId="7371" sId="1">
    <nc r="D544">
      <f>D545</f>
    </nc>
  </rcc>
  <rcc rId="7372" sId="1">
    <nc r="E544">
      <f>E545</f>
    </nc>
  </rcc>
  <rcc rId="7373" sId="1">
    <nc r="F544">
      <f>F545</f>
    </nc>
  </rcc>
  <rcc rId="7374" sId="1">
    <oc r="D543">
      <f>D547</f>
    </oc>
    <nc r="D543">
      <f>D547+D544</f>
    </nc>
  </rcc>
  <rcc rId="7375" sId="1">
    <oc r="E543">
      <f>E547</f>
    </oc>
    <nc r="E543">
      <f>E547+E544</f>
    </nc>
  </rcc>
  <rcc rId="7376" sId="1">
    <oc r="F543">
      <f>F547</f>
    </oc>
    <nc r="F543">
      <f>F547+F544</f>
    </nc>
  </rcc>
  <rcc rId="7377" sId="1" numFmtId="34">
    <nc r="D546">
      <v>40000</v>
    </nc>
  </rcc>
  <rdn rId="0" localSheetId="1" customView="1" name="Z_621F9F50_6600_48C4_A94F_B2301D0254CC_.wvu.PrintArea" hidden="1" oldHidden="1">
    <formula>'программы '!$A$1:$F$686</formula>
  </rdn>
  <rdn rId="0" localSheetId="1" customView="1" name="Z_621F9F50_6600_48C4_A94F_B2301D0254CC_.wvu.FilterData" hidden="1" oldHidden="1">
    <formula>'программы '!$C$1:$C$694</formula>
  </rdn>
  <rcv guid="{621F9F50-6600-48C4-A94F-B2301D0254CC}" action="add"/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1F9F50-6600-48C4-A94F-B2301D0254CC}" action="delete"/>
  <rdn rId="0" localSheetId="1" customView="1" name="Z_621F9F50_6600_48C4_A94F_B2301D0254CC_.wvu.PrintArea" hidden="1" oldHidden="1">
    <formula>'программы '!$A$1:$F$686</formula>
    <oldFormula>'программы '!$A$1:$F$686</oldFormula>
  </rdn>
  <rdn rId="0" localSheetId="1" customView="1" name="Z_621F9F50_6600_48C4_A94F_B2301D0254CC_.wvu.FilterData" hidden="1" oldHidden="1">
    <formula>'программы '!$C$1:$C$694</formula>
    <oldFormula>'программы '!$C$1:$C$694</oldFormula>
  </rdn>
  <rcv guid="{621F9F50-6600-48C4-A94F-B2301D0254CC}" action="add"/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9B90A86-BE39-4FED-8226-084809D277F3}" action="delete"/>
  <rdn rId="0" localSheetId="1" customView="1" name="Z_D9B90A86_BE39_4FED_8226_084809D277F3_.wvu.PrintArea" hidden="1" oldHidden="1">
    <formula>'программы '!$A$1:$F$686</formula>
    <oldFormula>'программы '!$A$1:$F$686</oldFormula>
  </rdn>
  <rdn rId="0" localSheetId="1" customView="1" name="Z_D9B90A86_BE39_4FED_8226_084809D277F3_.wvu.FilterData" hidden="1" oldHidden="1">
    <formula>'программы '!$C$1:$C$694</formula>
    <oldFormula>'программы '!$A$16:$F$287</oldFormula>
  </rdn>
  <rcv guid="{D9B90A86-BE39-4FED-8226-084809D277F3}" action="add"/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84" sId="1" numFmtId="34">
    <oc r="D187">
      <v>945393.45</v>
    </oc>
    <nc r="D187">
      <f>945393.45+1912633.07</f>
    </nc>
  </rcc>
  <rrc rId="7385" sId="1" ref="A188:XFD188" action="insertRow">
    <undo index="0" exp="area" ref3D="1" dr="$A$245:$XFD$249" dn="Z_30E81E54_DD45_4653_9DCD_548F6723F554_.wvu.Rows" sId="1"/>
  </rrc>
  <rcc rId="7386" sId="1">
    <nc r="C188">
      <v>244</v>
    </nc>
  </rcc>
  <rcc rId="7387" sId="1" numFmtId="34">
    <nc r="D188">
      <v>286002.59000000003</v>
    </nc>
  </rcc>
  <rfmt sheetId="1" sqref="A188:D188">
    <dxf>
      <fill>
        <patternFill patternType="solid">
          <bgColor rgb="FFFFFF00"/>
        </patternFill>
      </fill>
    </dxf>
  </rfmt>
  <rcc rId="7388" sId="1">
    <oc r="D186">
      <f>D187</f>
    </oc>
    <nc r="D186">
      <f>D187+D188</f>
    </nc>
  </rcc>
  <rcv guid="{30E81E54-DD45-4653-9DCD-548F6723F554}" action="delete"/>
  <rdn rId="0" localSheetId="1" customView="1" name="Z_30E81E54_DD45_4653_9DCD_548F6723F554_.wvu.PrintArea" hidden="1" oldHidden="1">
    <formula>'программы '!$A$1:$F$687</formula>
    <oldFormula>'программы '!$A$1:$F$687</oldFormula>
  </rdn>
  <rdn rId="0" localSheetId="1" customView="1" name="Z_30E81E54_DD45_4653_9DCD_548F6723F554_.wvu.Rows" hidden="1" oldHidden="1">
    <formula>'программы '!$246:$250</formula>
    <oldFormula>'программы '!$246:$250</oldFormula>
  </rdn>
  <rdn rId="0" localSheetId="1" customView="1" name="Z_30E81E54_DD45_4653_9DCD_548F6723F554_.wvu.FilterData" hidden="1" oldHidden="1">
    <formula>'программы '!$C$1:$C$695</formula>
    <oldFormula>'программы '!$A$1:$A$700</oldFormula>
  </rdn>
  <rcv guid="{30E81E54-DD45-4653-9DCD-548F6723F554}" action="add"/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2" sId="1" numFmtId="34">
    <oc r="D453">
      <v>6579503.0800000001</v>
    </oc>
    <nc r="D453">
      <f>6579503.08-4498248.57</f>
    </nc>
  </rcc>
  <rcc rId="7393" sId="1">
    <nc r="E453">
      <f>2289983.02</f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94" sId="1" ref="A598:XFD598" action="insertRow"/>
  <rcc rId="7395" sId="1">
    <nc r="C598">
      <v>243</v>
    </nc>
  </rcc>
  <rfmt sheetId="1" sqref="A598:D598">
    <dxf>
      <fill>
        <patternFill patternType="solid">
          <bgColor rgb="FFFFFF00"/>
        </patternFill>
      </fill>
    </dxf>
  </rfmt>
  <rcc rId="7396" sId="1" numFmtId="34">
    <nc r="D598">
      <v>326213.94</v>
    </nc>
  </rcc>
  <rcc rId="7397" sId="1">
    <oc r="E186">
      <f>E187</f>
    </oc>
    <nc r="E186">
      <f>E187+E188</f>
    </nc>
  </rcc>
  <rcc rId="7398" sId="1">
    <oc r="D597">
      <f>D599</f>
    </oc>
    <nc r="D597">
      <f>D598+D599</f>
    </nc>
  </rcc>
  <rcc rId="7399" sId="1">
    <oc r="E597">
      <f>E599</f>
    </oc>
    <nc r="E597">
      <f>E598+E599</f>
    </nc>
  </rcc>
  <rcc rId="7400" sId="1">
    <oc r="F597">
      <f>F599</f>
    </oc>
    <nc r="F597">
      <f>F598+F599</f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01" sId="1">
    <oc r="D549">
      <f>5491817.59-40000+25802.14</f>
    </oc>
    <nc r="D549">
      <f>5491817.59-40000+25802.14+1973398.97</f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02" sId="1" numFmtId="34">
    <oc r="E686">
      <v>18548424.789999999</v>
    </oc>
    <nc r="E686">
      <f>18548424.79-2289983.02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7545950A_6E5E_45AB_942B_6C4201A60E54_.wvu.PrintArea" hidden="1" oldHidden="1">
    <formula>'программы '!$A$1:$F$688</formula>
  </rdn>
  <rdn rId="0" localSheetId="1" customView="1" name="Z_7545950A_6E5E_45AB_942B_6C4201A60E54_.wvu.Rows" hidden="1" oldHidden="1">
    <formula>'программы '!$246:$250</formula>
  </rdn>
  <rdn rId="0" localSheetId="1" customView="1" name="Z_7545950A_6E5E_45AB_942B_6C4201A60E54_.wvu.FilterData" hidden="1" oldHidden="1">
    <formula>'программы '!$C$1:$C$696</formula>
  </rdn>
  <rcv guid="{7545950A-6E5E-45AB-942B-6C4201A60E54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545950A-6E5E-45AB-942B-6C4201A60E54}" action="delete"/>
  <rdn rId="0" localSheetId="1" customView="1" name="Z_7545950A_6E5E_45AB_942B_6C4201A60E54_.wvu.PrintArea" hidden="1" oldHidden="1">
    <formula>'программы '!$A$1:$F$688</formula>
    <oldFormula>'программы '!$A$1:$F$688</oldFormula>
  </rdn>
  <rdn rId="0" localSheetId="1" customView="1" name="Z_7545950A_6E5E_45AB_942B_6C4201A60E54_.wvu.Rows" hidden="1" oldHidden="1">
    <formula>'программы '!$246:$250</formula>
    <oldFormula>'программы '!$246:$250</oldFormula>
  </rdn>
  <rdn rId="0" localSheetId="1" customView="1" name="Z_7545950A_6E5E_45AB_942B_6C4201A60E54_.wvu.FilterData" hidden="1" oldHidden="1">
    <formula>'программы '!$C$1:$C$696</formula>
    <oldFormula>'программы '!$C$1:$C$696</oldFormula>
  </rdn>
  <rcv guid="{7545950A-6E5E-45AB-942B-6C4201A60E54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475:B478">
    <dxf>
      <fill>
        <patternFill patternType="solid">
          <bgColor theme="6" tint="0.59999389629810485"/>
        </patternFill>
      </fill>
    </dxf>
  </rfmt>
  <rcc rId="3189" sId="1">
    <oc r="B475" t="inlineStr">
      <is>
        <t>18 0 F5 52430</t>
      </is>
    </oc>
    <nc r="B475" t="inlineStr">
      <is>
        <t>18 0 F5 52431</t>
      </is>
    </nc>
  </rcc>
  <rcc rId="3190" sId="1">
    <oc r="B476" t="inlineStr">
      <is>
        <t>18 0 F5 52430</t>
      </is>
    </oc>
    <nc r="B476" t="inlineStr">
      <is>
        <t>18 0 F5 52431</t>
      </is>
    </nc>
  </rcc>
  <rcc rId="3191" sId="1">
    <oc r="B477" t="inlineStr">
      <is>
        <t>18 0 F5 52430</t>
      </is>
    </oc>
    <nc r="B477" t="inlineStr">
      <is>
        <t>18 0 F5 52431</t>
      </is>
    </nc>
  </rcc>
  <rcc rId="3192" sId="1">
    <oc r="B478" t="inlineStr">
      <is>
        <t>18 0 F5 52430</t>
      </is>
    </oc>
    <nc r="B478" t="inlineStr">
      <is>
        <t>18 0 F5 52431</t>
      </is>
    </nc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545950A-6E5E-45AB-942B-6C4201A60E54}" action="delete"/>
  <rdn rId="0" localSheetId="1" customView="1" name="Z_7545950A_6E5E_45AB_942B_6C4201A60E54_.wvu.PrintArea" hidden="1" oldHidden="1">
    <formula>'программы '!$A$1:$F$688</formula>
    <oldFormula>'программы '!$A$1:$F$688</oldFormula>
  </rdn>
  <rdn rId="0" localSheetId="1" customView="1" name="Z_7545950A_6E5E_45AB_942B_6C4201A60E54_.wvu.Rows" hidden="1" oldHidden="1">
    <formula>'программы '!$246:$250</formula>
    <oldFormula>'программы '!$246:$250</oldFormula>
  </rdn>
  <rdn rId="0" localSheetId="1" customView="1" name="Z_7545950A_6E5E_45AB_942B_6C4201A60E54_.wvu.FilterData" hidden="1" oldHidden="1">
    <formula>'программы '!$C$1:$C$696</formula>
    <oldFormula>'программы '!$C$1:$C$696</oldFormula>
  </rdn>
  <rcv guid="{7545950A-6E5E-45AB-942B-6C4201A60E54}" action="add"/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12" sId="1">
    <oc r="A317" t="inlineStr">
      <is>
    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 на территории Архангельской области</t>
      </is>
    </oc>
    <nc r="A317" t="inlineStr">
      <is>
    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'!$A$1:$F$688</formula>
    <oldFormula>'программы '!$A$1:$F$688</oldFormula>
  </rdn>
  <rdn rId="0" localSheetId="1" customView="1" name="Z_D9B90A86_BE39_4FED_8226_084809D277F3_.wvu.FilterData" hidden="1" oldHidden="1">
    <formula>'программы '!$C$1:$C$696</formula>
    <oldFormula>'программы '!$C$1:$C$696</oldFormula>
  </rdn>
  <rcv guid="{D9B90A86-BE39-4FED-8226-084809D277F3}" action="add"/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15" sId="1">
    <oc r="A369" t="inlineStr">
      <is>
        <t>Мероприятия  на развитие архивного дела</t>
      </is>
    </oc>
    <nc r="A369" t="inlineStr">
      <is>
        <t>Мероприятия в сфере профилактики правонарушений</t>
      </is>
    </nc>
  </rc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16" sId="1">
    <nc r="B188" t="inlineStr">
      <is>
        <t>03 0 00 84941</t>
      </is>
    </nc>
  </rcc>
  <rcc rId="7417" sId="1" xfDxf="1" dxf="1">
    <nc r="A188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188:D188">
    <dxf>
      <fill>
        <patternFill>
          <bgColor theme="0"/>
        </patternFill>
      </fill>
    </dxf>
  </rfmt>
  <rcc rId="7418" sId="1">
    <oc r="E186">
      <f>E187+E188</f>
    </oc>
    <nc r="E186">
      <f>E187+E188</f>
    </nc>
  </rcc>
  <rcc rId="7419" sId="1">
    <oc r="F186">
      <f>F187</f>
    </oc>
    <nc r="F186">
      <f>F187+F188</f>
    </nc>
  </rcc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20" sId="1">
    <nc r="A598" t="inlineStr">
      <is>
        <t>Закупка товаров, работ и услуг в целях капитального ремонта государственного (муниципального) имущества</t>
      </is>
    </nc>
  </rcc>
  <rfmt sheetId="1" sqref="A598:XFD598">
    <dxf>
      <fill>
        <patternFill>
          <bgColor theme="0"/>
        </patternFill>
      </fill>
    </dxf>
  </rfmt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21" sId="1">
    <nc r="B598" t="inlineStr">
      <is>
        <t>59 0 00 83650</t>
      </is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22" sId="1">
    <oc r="A628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</is>
    </oc>
    <nc r="A628" t="inlineStr">
      <is>
        <t>Исполнение судебных актов Российской Федерации и мировых соглашений по возмещению причиненного вреда</t>
      </is>
    </nc>
  </rcc>
  <rdn rId="0" localSheetId="1" customView="1" name="Z_D9B90A86_BE39_4FED_8226_084809D277F3_.wvu.PrintArea" hidden="1" oldHidden="1">
    <oldFormula>'программы '!$A$1:$F$688</oldFormula>
  </rdn>
  <rcv guid="{D9B90A86-BE39-4FED-8226-084809D277F3}" action="delete"/>
  <rdn rId="0" localSheetId="1" customView="1" name="Z_D9B90A86_BE39_4FED_8226_084809D277F3_.wvu.FilterData" hidden="1" oldHidden="1">
    <formula>'программы '!$C$1:$C$696</formula>
    <oldFormula>'программы '!$C$1:$C$696</oldFormula>
  </rdn>
  <rcv guid="{D9B90A86-BE39-4FED-8226-084809D277F3}" action="add"/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25" sId="1">
    <oc r="A358" t="inlineStr">
      <is>
        <t xml:space="preserve">Уплата прочих налогов, сборов и иных платежей </t>
      </is>
    </oc>
    <nc r="A358" t="inlineStr">
      <is>
        <t>Уплата налогов, сборов и иных платежей</t>
      </is>
    </nc>
  </rcc>
  <rcc rId="7426" sId="1">
    <oc r="A175" t="inlineStr">
      <is>
        <t>Уплата налога на имущество организаций и земельного налога</t>
      </is>
    </oc>
    <nc r="A175" t="inlineStr">
      <is>
        <t>Уплата налогов, сборов и иных платежей</t>
      </is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9B90A86-BE39-4FED-8226-084809D277F3}" action="delete"/>
  <rdn rId="0" localSheetId="1" customView="1" name="Z_D9B90A86_BE39_4FED_8226_084809D277F3_.wvu.PrintArea" hidden="1" oldHidden="1">
    <formula>'программы '!$A$1:$F$690</formula>
  </rdn>
  <rdn rId="0" localSheetId="1" customView="1" name="Z_D9B90A86_BE39_4FED_8226_084809D277F3_.wvu.FilterData" hidden="1" oldHidden="1">
    <formula>'программы '!$C$1:$C$696</formula>
    <oldFormula>'программы '!$C$1:$C$696</oldFormula>
  </rdn>
  <rcv guid="{D9B90A86-BE39-4FED-8226-084809D277F3}" action="add"/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29" sId="1" numFmtId="34">
    <oc r="D312">
      <v>329253</v>
    </oc>
    <nc r="D312">
      <f>329253+51658.57</f>
    </nc>
  </rcc>
  <rcc rId="7430" sId="1" numFmtId="34">
    <oc r="D330">
      <v>415161.41</v>
    </oc>
    <nc r="D330">
      <f>415161.41-51658.57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93" sId="1" ref="A723:XFD723" action="insertRow"/>
  <rrc rId="3194" sId="1" ref="A723:XFD723" action="insertRow"/>
  <rrc rId="3195" sId="1" ref="A723:XFD723" action="insertRow"/>
  <rrc rId="3196" sId="1" ref="A723:XFD723" action="insertRow"/>
  <rcc rId="3197" sId="1">
    <nc r="C726" t="inlineStr">
      <is>
        <t>414</t>
      </is>
    </nc>
  </rcc>
  <rcc rId="3198" sId="1">
    <nc r="C725" t="inlineStr">
      <is>
        <t>410</t>
      </is>
    </nc>
  </rcc>
  <rcc rId="3199" sId="1">
    <nc r="C724" t="inlineStr">
      <is>
        <t>400</t>
      </is>
    </nc>
  </rcc>
  <rcc rId="3200" sId="1" xfDxf="1" dxf="1">
    <nc r="B723" t="inlineStr">
      <is>
        <t>59 0 00 97040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01" sId="1" xfDxf="1" dxf="1">
    <nc r="B724" t="inlineStr">
      <is>
        <t>59 0 00 97040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02" sId="1" xfDxf="1" dxf="1">
    <nc r="B725" t="inlineStr">
      <is>
        <t>59 0 00 97040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03" sId="1" xfDxf="1" dxf="1">
    <nc r="B726" t="inlineStr">
      <is>
        <t>59 0 00 97040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04" sId="1" xfDxf="1" dxf="1">
    <nc r="A723" t="inlineStr">
      <is>
        <t>Расходы на модернизацию (строительство) котельных на твердом биотопливе, источником финансового обеспечения которых является специальный казначейский кредит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05" sId="1">
    <nc r="A724" t="inlineStr">
      <is>
        <t>Капитальные вложения в объекты государственной (муниципальной) собственности</t>
      </is>
    </nc>
  </rcc>
  <rcc rId="3206" sId="1" xfDxf="1" dxf="1">
    <nc r="A725" t="inlineStr">
      <is>
        <t>Бюджетные инвестиции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07" sId="1" xfDxf="1" dxf="1">
    <nc r="A726" t="inlineStr">
      <is>
        <t>Бюджетные инвестиции в объекты капитального строительства государственной (муниципальной) собственности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08" sId="1">
    <nc r="D725">
      <f>D726</f>
    </nc>
  </rcc>
  <rcc rId="3209" sId="1">
    <nc r="E725">
      <f>E726</f>
    </nc>
  </rcc>
  <rcc rId="3210" sId="1">
    <nc r="F725">
      <f>F726</f>
    </nc>
  </rcc>
  <rcc rId="3211" sId="1">
    <nc r="D724">
      <f>D725</f>
    </nc>
  </rcc>
  <rcc rId="3212" sId="1">
    <nc r="E724">
      <f>E725</f>
    </nc>
  </rcc>
  <rcc rId="3213" sId="1">
    <nc r="F724">
      <f>F725</f>
    </nc>
  </rcc>
  <rcc rId="3214" sId="1">
    <nc r="D723">
      <f>D724</f>
    </nc>
  </rcc>
  <rcc rId="3215" sId="1">
    <nc r="E723">
      <f>E724</f>
    </nc>
  </rcc>
  <rcc rId="3216" sId="1">
    <nc r="F723">
      <f>F724</f>
    </nc>
  </rcc>
  <rcc rId="3217" sId="1">
    <oc r="D678">
      <f>D679+D687+D683+D708</f>
    </oc>
    <nc r="D678">
      <f>D679+D687+D683+D708+D723</f>
    </nc>
  </rcc>
  <rcc rId="3218" sId="1">
    <oc r="E678">
      <f>E679+E687+E683</f>
    </oc>
    <nc r="E678">
      <f>E679+E687+E683+E708+E723</f>
    </nc>
  </rcc>
  <rcc rId="3219" sId="1">
    <oc r="F678">
      <f>F679+F687+F683</f>
    </oc>
    <nc r="F678">
      <f>F679+F687+F683+F708+F723</f>
    </nc>
  </rcc>
  <rfmt sheetId="1" sqref="A723:XFD726">
    <dxf>
      <fill>
        <patternFill patternType="solid"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'!$A$1:$F$807</formula>
    <oldFormula>'программы '!$A$1:$F$807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'!$A$1:$A$820</formula>
    <oldFormula>'программы '!$A$1:$A$820</oldFormula>
  </rdn>
  <rcv guid="{D9B90A86-BE39-4FED-8226-084809D277F3}" action="add"/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1" sId="1" numFmtId="34">
    <oc r="D305">
      <v>30000</v>
    </oc>
    <nc r="D305">
      <f>30000-15000</f>
    </nc>
  </rcc>
  <rcc rId="7432" sId="1" numFmtId="34">
    <oc r="E305">
      <v>30000</v>
    </oc>
    <nc r="E305">
      <v>15000</v>
    </nc>
  </rcc>
  <rcc rId="7433" sId="1" numFmtId="34">
    <oc r="F305">
      <v>30000</v>
    </oc>
    <nc r="F305">
      <v>15000</v>
    </nc>
  </rcc>
  <rrc rId="7434" sId="1" ref="A306:XFD306" action="insertRow"/>
  <rrc rId="7435" sId="1" ref="A306:XFD306" action="insertRow"/>
  <rrc rId="7436" sId="1" ref="A307:XFD307" action="insertRow"/>
  <rrc rId="7437" sId="1" ref="A307:XFD307" action="insertRow"/>
  <rfmt sheetId="1" sqref="A306:A309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7438" sId="1">
    <nc r="C309">
      <v>244</v>
    </nc>
  </rcc>
  <rcc rId="7439" sId="1">
    <nc r="C308">
      <v>240</v>
    </nc>
  </rcc>
  <rcc rId="7440" sId="1">
    <nc r="C307">
      <v>200</v>
    </nc>
  </rcc>
  <rcc rId="7441" sId="1">
    <nc r="B309" t="inlineStr">
      <is>
        <t>11 2 00 80510</t>
      </is>
    </nc>
  </rcc>
  <rcc rId="7442" sId="1">
    <nc r="B308" t="inlineStr">
      <is>
        <t>11 2 00 80510</t>
      </is>
    </nc>
  </rcc>
  <rcc rId="7443" sId="1">
    <nc r="B307" t="inlineStr">
      <is>
        <t>11 2 00 80510</t>
      </is>
    </nc>
  </rcc>
  <rcc rId="7444" sId="1">
    <nc r="B306" t="inlineStr">
      <is>
        <t>11 2 00 00000</t>
      </is>
    </nc>
  </rcc>
  <rcc rId="7445" sId="1">
    <nc r="A306" t="inlineStr">
      <is>
        <t>Подпрограмма №2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на территории Плесецкого муниципального округа"</t>
      </is>
    </nc>
  </rcc>
  <rfmt sheetId="1" sqref="A306:XFD306" start="0" length="2147483647">
    <dxf>
      <font>
        <b/>
      </font>
    </dxf>
  </rfmt>
  <rcc rId="7446" sId="1">
    <nc r="D308">
      <f>D309</f>
    </nc>
  </rcc>
  <rcc rId="7447" sId="1">
    <nc r="E308">
      <f>E309</f>
    </nc>
  </rcc>
  <rcc rId="7448" sId="1">
    <nc r="F308">
      <f>F309</f>
    </nc>
  </rcc>
  <rcc rId="7449" sId="1" odxf="1" dxf="1">
    <nc r="D306">
      <f>D307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450" sId="1" odxf="1" dxf="1">
    <nc r="E306">
      <f>E307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451" sId="1" odxf="1" dxf="1">
    <nc r="F306">
      <f>F307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452" sId="1">
    <nc r="D307">
      <f>D308</f>
    </nc>
  </rcc>
  <rcc rId="7453" sId="1">
    <nc r="E307">
      <f>E308</f>
    </nc>
  </rcc>
  <rcc rId="7454" sId="1">
    <nc r="F307">
      <f>F308</f>
    </nc>
  </rcc>
  <rcc rId="7455" sId="1">
    <nc r="A309" t="inlineStr">
      <is>
        <t xml:space="preserve">Прочая закупка товаров, работ и услуг </t>
      </is>
    </nc>
  </rcc>
  <rcc rId="7456" sId="1">
    <nc r="A308" t="inlineStr">
      <is>
        <t>Иные закупки товаров,работ и услуг для обеспечения государственных (муниципальных) нужд</t>
      </is>
    </nc>
  </rcc>
  <rcc rId="7457" sId="1">
    <nc r="A307" t="inlineStr">
      <is>
        <t>Закупка товаров, работ и услуг для обеспечения государственных (муниципальных) нужд</t>
      </is>
    </nc>
  </rcc>
  <rcc rId="7458" sId="1" numFmtId="34">
    <nc r="D309">
      <v>15000</v>
    </nc>
  </rcc>
  <rcc rId="7459" sId="1" numFmtId="34">
    <nc r="E309">
      <v>15000</v>
    </nc>
  </rcc>
  <rcc rId="7460" sId="1" numFmtId="34">
    <nc r="F309">
      <v>15000</v>
    </nc>
  </rcc>
  <rcc rId="7461" sId="1">
    <oc r="D300">
      <f>D301</f>
    </oc>
    <nc r="D300">
      <f>D301+D306</f>
    </nc>
  </rcc>
  <rcc rId="7462" sId="1">
    <oc r="E300">
      <f>E301</f>
    </oc>
    <nc r="E300">
      <f>E301+E306</f>
    </nc>
  </rcc>
  <rcc rId="7463" sId="1">
    <oc r="F300">
      <f>F301</f>
    </oc>
    <nc r="F300">
      <f>F301+F306</f>
    </nc>
  </rcc>
  <rcv guid="{D9B90A86-BE39-4FED-8226-084809D277F3}" action="delete"/>
  <rdn rId="0" localSheetId="1" customView="1" name="Z_D9B90A86_BE39_4FED_8226_084809D277F3_.wvu.PrintArea" hidden="1" oldHidden="1">
    <formula>'программы '!$A$1:$F$694</formula>
    <oldFormula>'программы '!$A$1:$F$694</oldFormula>
  </rdn>
  <rdn rId="0" localSheetId="1" customView="1" name="Z_D9B90A86_BE39_4FED_8226_084809D277F3_.wvu.FilterData" hidden="1" oldHidden="1">
    <formula>'программы '!$C$1:$C$700</formula>
    <oldFormula>'программы '!$C$1:$C$700</oldFormula>
  </rdn>
  <rcv guid="{D9B90A86-BE39-4FED-8226-084809D277F3}" action="add"/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6" sId="1" numFmtId="34">
    <oc r="D457">
      <f>6579503.08-4498248.57</f>
    </oc>
    <nc r="D457">
      <v>0</v>
    </nc>
  </rcc>
  <rcc rId="7467" sId="1">
    <oc r="E457">
      <f>2289983.02</f>
    </oc>
    <nc r="E457">
      <f>2289983.02-2289959.62</f>
    </nc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68" sId="1" ref="A461:XFD461" action="insertRow"/>
  <rrc rId="7469" sId="1" ref="A461:XFD461" action="insertRow"/>
  <rrc rId="7470" sId="1" ref="A461:XFD461" action="insertRow"/>
  <rrc rId="7471" sId="1" ref="A461:XFD461" action="insertRow"/>
  <rrc rId="7472" sId="1" ref="A461:XFD461" action="insertRow"/>
  <rfmt sheetId="1" sqref="A461:A465" start="0" length="0">
    <dxf>
      <border>
        <left style="thin">
          <color indexed="64"/>
        </left>
      </border>
    </dxf>
  </rfmt>
  <rfmt sheetId="1" sqref="F461:F465" start="0" length="0">
    <dxf>
      <border>
        <right style="thin">
          <color indexed="64"/>
        </right>
      </border>
    </dxf>
  </rfmt>
  <rfmt sheetId="1" sqref="A465:F465" start="0" length="0">
    <dxf>
      <border>
        <bottom style="thin">
          <color indexed="64"/>
        </bottom>
      </border>
    </dxf>
  </rfmt>
  <rfmt sheetId="1" sqref="A461:F46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7473" sId="1">
    <nc r="C465">
      <v>243</v>
    </nc>
  </rcc>
  <rcc rId="7474" sId="1">
    <nc r="C464">
      <v>240</v>
    </nc>
  </rcc>
  <rcc rId="7475" sId="1">
    <nc r="C463">
      <v>200</v>
    </nc>
  </rcc>
  <rcc rId="7476" sId="1">
    <nc r="B462" t="inlineStr">
      <is>
        <t>27 0 И3 51541</t>
      </is>
    </nc>
  </rcc>
  <rcc rId="7477" sId="1">
    <nc r="B463" t="inlineStr">
      <is>
        <t>27 0 И3 51541</t>
      </is>
    </nc>
  </rcc>
  <rcc rId="7478" sId="1">
    <nc r="B464" t="inlineStr">
      <is>
        <t>27 0 И3 51541</t>
      </is>
    </nc>
  </rcc>
  <rcc rId="7479" sId="1">
    <nc r="B465" t="inlineStr">
      <is>
        <t>27 0 И3 51541</t>
      </is>
    </nc>
  </rcc>
  <rcc rId="7480" sId="1">
    <nc r="B461" t="inlineStr">
      <is>
        <t>27 0 И3 00000</t>
      </is>
    </nc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81" sId="1">
    <nc r="D464">
      <f>D465</f>
    </nc>
  </rcc>
  <rcc rId="7482" sId="1">
    <nc r="E464">
      <f>E465</f>
    </nc>
  </rcc>
  <rcc rId="7483" sId="1">
    <nc r="F464">
      <f>F465</f>
    </nc>
  </rcc>
  <rcc rId="7484" sId="1">
    <nc r="D461">
      <f>D462</f>
    </nc>
  </rcc>
  <rcc rId="7485" sId="1">
    <nc r="E461">
      <f>E462</f>
    </nc>
  </rcc>
  <rcc rId="7486" sId="1">
    <nc r="F461">
      <f>F462</f>
    </nc>
  </rcc>
  <rcc rId="7487" sId="1">
    <nc r="D462">
      <f>D463</f>
    </nc>
  </rcc>
  <rcc rId="7488" sId="1">
    <nc r="E462">
      <f>E463</f>
    </nc>
  </rcc>
  <rcc rId="7489" sId="1">
    <nc r="F462">
      <f>F463</f>
    </nc>
  </rcc>
  <rcc rId="7490" sId="1">
    <nc r="D463">
      <f>D464</f>
    </nc>
  </rcc>
  <rcc rId="7491" sId="1">
    <nc r="E463">
      <f>E464</f>
    </nc>
  </rcc>
  <rcc rId="7492" sId="1">
    <nc r="F463">
      <f>F464</f>
    </nc>
  </rcc>
  <rcc rId="7493" sId="1">
    <oc r="D453">
      <f>D454</f>
    </oc>
    <nc r="D453">
      <f>D454+D461</f>
    </nc>
  </rcc>
  <rcc rId="7494" sId="1">
    <oc r="E453">
      <f>E454</f>
    </oc>
    <nc r="E453">
      <f>E454+E461</f>
    </nc>
  </rcc>
  <rcc rId="7495" sId="1">
    <oc r="F453">
      <f>F454</f>
    </oc>
    <nc r="F453">
      <f>F454+F461</f>
    </nc>
  </rcc>
  <rcc rId="7496" sId="1" odxf="1" dxf="1">
    <nc r="A465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7497" sId="1">
    <nc r="A464" t="inlineStr">
      <is>
        <t>Иные закупки товаров, работ и услуг для обеспечения государственных (муниципальных) нужд</t>
      </is>
    </nc>
  </rcc>
  <rcc rId="7498" sId="1">
    <nc r="A463" t="inlineStr">
      <is>
        <t>Закупка товаров, работ и услуг для обеспечения государственных (муниципальных) нужд</t>
      </is>
    </nc>
  </rcc>
  <rcc rId="7499" sId="1">
    <nc r="A462" t="inlineStr">
      <is>
        <t>Реализация мероприятий по модернизации коммунальной инфраструктуры</t>
      </is>
    </nc>
  </rcc>
  <rcc rId="7500" sId="1">
    <nc r="A461" t="inlineStr">
      <is>
        <t>Мероприятия в рамках Федерального проекта "Модернизация коммунальной инфраструктуры"</t>
      </is>
    </nc>
  </rcc>
  <rcc rId="7501" sId="1">
    <nc r="D465">
      <f>2483901.28</f>
    </nc>
  </rcc>
  <rcc rId="7502" sId="1">
    <nc r="E465">
      <f>2289959.62</f>
    </nc>
  </rcc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03" sId="1">
    <oc r="D612">
      <f>160205+590000</f>
    </oc>
    <nc r="D612">
      <f>160205+590000-402646.77</f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04" sId="1" numFmtId="34">
    <oc r="D192">
      <v>12560227.27</v>
    </oc>
    <nc r="D192">
      <v>0</v>
    </nc>
  </rcc>
  <rrc rId="7505" sId="1" ref="A189:XFD189" action="insertRow">
    <undo index="0" exp="area" ref3D="1" dr="$A$246:$XFD$250" dn="Z_7545950A_6E5E_45AB_942B_6C4201A60E54_.wvu.Rows" sId="1"/>
    <undo index="0" exp="area" ref3D="1" dr="$A$246:$XFD$250" dn="Z_30E81E54_DD45_4653_9DCD_548F6723F554_.wvu.Rows" sId="1"/>
  </rrc>
  <rrc rId="7506" sId="1" ref="A189:XFD189" action="insertRow">
    <undo index="0" exp="area" ref3D="1" dr="$A$247:$XFD$251" dn="Z_7545950A_6E5E_45AB_942B_6C4201A60E54_.wvu.Rows" sId="1"/>
    <undo index="0" exp="area" ref3D="1" dr="$A$247:$XFD$251" dn="Z_30E81E54_DD45_4653_9DCD_548F6723F554_.wvu.Rows" sId="1"/>
  </rrc>
  <rrc rId="7507" sId="1" ref="A189:XFD189" action="insertRow">
    <undo index="0" exp="area" ref3D="1" dr="$A$248:$XFD$252" dn="Z_7545950A_6E5E_45AB_942B_6C4201A60E54_.wvu.Rows" sId="1"/>
    <undo index="0" exp="area" ref3D="1" dr="$A$248:$XFD$252" dn="Z_30E81E54_DD45_4653_9DCD_548F6723F554_.wvu.Rows" sId="1"/>
  </rrc>
  <rrc rId="7508" sId="1" ref="A189:XFD189" action="insertRow">
    <undo index="0" exp="area" ref3D="1" dr="$A$249:$XFD$253" dn="Z_7545950A_6E5E_45AB_942B_6C4201A60E54_.wvu.Rows" sId="1"/>
    <undo index="0" exp="area" ref3D="1" dr="$A$249:$XFD$253" dn="Z_30E81E54_DD45_4653_9DCD_548F6723F554_.wvu.Rows" sId="1"/>
  </rrc>
  <rcc rId="7509" sId="1">
    <nc r="C192">
      <v>243</v>
    </nc>
  </rcc>
  <rcc rId="7510" sId="1">
    <nc r="C191">
      <v>240</v>
    </nc>
  </rcc>
  <rcc rId="7511" sId="1">
    <nc r="C190">
      <v>200</v>
    </nc>
  </rcc>
  <rcc rId="7512" sId="1">
    <nc r="A189" t="inlineStr">
      <is>
    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организация отдыха детей и их оздоровления</t>
      </is>
    </nc>
  </rcc>
  <rcc rId="7513" sId="1">
    <nc r="B192" t="inlineStr">
      <is>
        <t>03 5 00 L4941</t>
      </is>
    </nc>
  </rcc>
  <rcc rId="7514" sId="1">
    <nc r="B191" t="inlineStr">
      <is>
        <t>03 5 00 L4941</t>
      </is>
    </nc>
  </rcc>
  <rcc rId="7515" sId="1">
    <nc r="B190" t="inlineStr">
      <is>
        <t>03 5 00 L4941</t>
      </is>
    </nc>
  </rcc>
  <rcc rId="7516" sId="1">
    <nc r="B189" t="inlineStr">
      <is>
        <t>03 5 00 L4941</t>
      </is>
    </nc>
  </rcc>
  <rcc rId="7517" sId="1">
    <nc r="A192" t="inlineStr">
      <is>
        <t>Закупка товаров, работ, услуг в целях капитального
ремонта государственного (муниципального) имущества</t>
      </is>
    </nc>
  </rcc>
  <rcc rId="7518" sId="1">
    <nc r="A191" t="inlineStr">
      <is>
        <t>Иные закупки товаров, работ и услуг для обеспечения государственных (муниципальных) нужд</t>
      </is>
    </nc>
  </rcc>
  <rcc rId="7519" sId="1">
    <nc r="A190" t="inlineStr">
      <is>
        <t>Закупка товаров, работ и услуг для обеспечения государственных (муниципальных) нужд</t>
      </is>
    </nc>
  </rcc>
  <rcc rId="7520" sId="1">
    <nc r="D191">
      <f>D192</f>
    </nc>
  </rcc>
  <rcc rId="7521" sId="1" odxf="1" dxf="1">
    <nc r="E191">
      <f>E192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522" sId="1" odxf="1" dxf="1">
    <nc r="F191">
      <f>F192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523" sId="1">
    <nc r="D189">
      <f>D190</f>
    </nc>
  </rcc>
  <rcc rId="7524" sId="1" odxf="1" dxf="1">
    <nc r="E189">
      <f>E190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525" sId="1" odxf="1" dxf="1">
    <nc r="F189">
      <f>F190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526" sId="1">
    <nc r="D190">
      <f>D191</f>
    </nc>
  </rcc>
  <rcc rId="7527" sId="1" odxf="1" dxf="1">
    <nc r="E190">
      <f>E191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528" sId="1" odxf="1" dxf="1">
    <nc r="F190">
      <f>F191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529" sId="1" numFmtId="34">
    <nc r="D192">
      <v>12560227.27</v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30" sId="1" ref="A197:XFD197" action="deleteRow">
    <undo index="0" exp="ref" v="1" dr="F197" r="F193" sId="1"/>
    <undo index="0" exp="ref" v="1" dr="E197" r="E193" sId="1"/>
    <undo index="0" exp="ref" v="1" dr="D197" r="D193" sId="1"/>
    <undo index="0" exp="area" ref3D="1" dr="$A$250:$XFD$254" dn="Z_7545950A_6E5E_45AB_942B_6C4201A60E54_.wvu.Rows" sId="1"/>
    <undo index="0" exp="area" ref3D="1" dr="$A$250:$XFD$254" dn="Z_30E81E54_DD45_4653_9DCD_548F6723F554_.wvu.Rows" sId="1"/>
    <rfmt sheetId="1" xfDxf="1" sqref="A197:XFD197" start="0" length="0">
      <dxf>
        <font>
          <b/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97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b val="0"/>
          <name val="Times New Roman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197" t="inlineStr">
        <is>
          <t>03 5 00 R4941</t>
        </is>
      </nc>
      <n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600</v>
      </nc>
      <ndxf>
        <font>
          <b val="0"/>
          <name val="Times New Roman"/>
          <scheme val="none"/>
        </font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97">
        <f>D198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E197">
        <f>E198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F197">
        <f>F198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fmt sheetId="1" sqref="G197" start="0" length="0">
      <dxf>
        <fill>
          <patternFill>
            <bgColor theme="0"/>
          </patternFill>
        </fill>
      </dxf>
    </rfmt>
    <rfmt sheetId="1" sqref="H197" start="0" length="0">
      <dxf>
        <fill>
          <patternFill>
            <bgColor theme="0"/>
          </patternFill>
        </fill>
      </dxf>
    </rfmt>
    <rfmt sheetId="1" sqref="I197" start="0" length="0">
      <dxf>
        <fill>
          <patternFill>
            <bgColor theme="0"/>
          </patternFill>
        </fill>
      </dxf>
    </rfmt>
    <rfmt sheetId="1" sqref="J197" start="0" length="0">
      <dxf>
        <fill>
          <patternFill>
            <bgColor theme="0"/>
          </patternFill>
        </fill>
      </dxf>
    </rfmt>
  </rrc>
  <rrc rId="7531" sId="1" ref="A197:XFD197" action="deleteRow">
    <undo index="0" exp="area" ref3D="1" dr="$A$249:$XFD$253" dn="Z_7545950A_6E5E_45AB_942B_6C4201A60E54_.wvu.Rows" sId="1"/>
    <undo index="0" exp="area" ref3D="1" dr="$A$249:$XFD$253" dn="Z_30E81E54_DD45_4653_9DCD_548F6723F554_.wvu.Rows" sId="1"/>
    <rfmt sheetId="1" xfDxf="1" sqref="A197:XFD197" start="0" length="0">
      <dxf>
        <font>
          <b/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97" t="inlineStr">
        <is>
          <t>Субсидии бюджетным учреждениям</t>
        </is>
      </nc>
      <ndxf>
        <font>
          <b val="0"/>
          <name val="Times New Roman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197" t="inlineStr">
        <is>
          <t>03 5 00 R4941</t>
        </is>
      </nc>
      <n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610</v>
      </nc>
      <ndxf>
        <font>
          <b val="0"/>
          <name val="Times New Roman"/>
          <scheme val="none"/>
        </font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197">
        <f>D198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E197">
        <f>E198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cc rId="0" sId="1" s="1" dxf="1">
      <nc r="F197">
        <f>F198</f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fmt sheetId="1" sqref="G197" start="0" length="0">
      <dxf>
        <fill>
          <patternFill>
            <bgColor theme="0"/>
          </patternFill>
        </fill>
      </dxf>
    </rfmt>
    <rfmt sheetId="1" sqref="H197" start="0" length="0">
      <dxf>
        <fill>
          <patternFill>
            <bgColor theme="0"/>
          </patternFill>
        </fill>
      </dxf>
    </rfmt>
    <rfmt sheetId="1" sqref="I197" start="0" length="0">
      <dxf>
        <fill>
          <patternFill>
            <bgColor theme="0"/>
          </patternFill>
        </fill>
      </dxf>
    </rfmt>
    <rfmt sheetId="1" sqref="J197" start="0" length="0">
      <dxf>
        <fill>
          <patternFill>
            <bgColor theme="0"/>
          </patternFill>
        </fill>
      </dxf>
    </rfmt>
  </rrc>
  <rrc rId="7532" sId="1" ref="A197:XFD197" action="deleteRow">
    <undo index="0" exp="area" ref3D="1" dr="$A$248:$XFD$252" dn="Z_7545950A_6E5E_45AB_942B_6C4201A60E54_.wvu.Rows" sId="1"/>
    <undo index="0" exp="area" ref3D="1" dr="$A$248:$XFD$252" dn="Z_30E81E54_DD45_4653_9DCD_548F6723F554_.wvu.Rows" sId="1"/>
    <rfmt sheetId="1" xfDxf="1" sqref="A197:XFD197" start="0" length="0">
      <dxf>
        <font>
          <b/>
          <name val="Times New Roman"/>
          <scheme val="none"/>
        </font>
        <fill>
          <patternFill patternType="solid">
            <bgColor theme="6" tint="0.59999389629810485"/>
          </patternFill>
        </fill>
        <alignment vertical="center" readingOrder="0"/>
      </dxf>
    </rfmt>
    <rcc rId="0" sId="1" dxf="1">
      <nc r="A197" t="inlineStr">
        <is>
          <t>Субсидии бюджетным учреждениям на иные цели</t>
        </is>
      </nc>
      <ndxf>
        <font>
          <b val="0"/>
          <name val="Times New Roman"/>
          <scheme val="none"/>
        </font>
        <fill>
          <patternFill patternType="none">
            <bgColor indexed="65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>
      <nc r="B197" t="inlineStr">
        <is>
          <t>03 5 00 R4941</t>
        </is>
      </nc>
      <ndxf>
        <font>
          <b val="0"/>
          <sz val="10"/>
          <color auto="1"/>
          <name val="Times New Roman"/>
          <scheme val="none"/>
        </font>
        <numFmt numFmtId="165" formatCode="_(* #,##0.0_);_(* \(#,##0.0\);_(* &quot;-&quot;??_);_(@_)"/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612</v>
      </nc>
      <ndxf>
        <font>
          <b val="0"/>
          <name val="Times New Roman"/>
          <scheme val="none"/>
        </font>
        <fill>
          <patternFill patternType="none">
            <bgColor indexed="65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D197">
        <v>0</v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cc rId="0" sId="1" s="1" dxf="1" numFmtId="34">
      <nc r="E197">
        <v>0</v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cc rId="0" sId="1" s="1" dxf="1" numFmtId="34">
      <nc r="F197">
        <v>0</v>
      </nc>
      <ndxf>
        <font>
          <b val="0"/>
          <sz val="10"/>
          <color auto="1"/>
          <name val="Times New Roman"/>
          <scheme val="none"/>
        </font>
        <numFmt numFmtId="164" formatCode="_-* #,##0.00_р_._-;\-* #,##0.00_р_._-;_-* &quot;-&quot;??_р_._-;_-@_-"/>
        <fill>
          <patternFill patternType="none">
            <bgColor indexed="65"/>
          </patternFill>
        </fill>
        <border outline="0">
          <right style="thin">
            <color indexed="64"/>
          </right>
          <top style="thin">
            <color indexed="64"/>
          </top>
        </border>
      </ndxf>
    </rcc>
    <rfmt sheetId="1" sqref="G197" start="0" length="0">
      <dxf>
        <fill>
          <patternFill>
            <bgColor theme="0"/>
          </patternFill>
        </fill>
      </dxf>
    </rfmt>
    <rfmt sheetId="1" sqref="H197" start="0" length="0">
      <dxf>
        <fill>
          <patternFill>
            <bgColor theme="0"/>
          </patternFill>
        </fill>
      </dxf>
    </rfmt>
    <rfmt sheetId="1" sqref="I197" start="0" length="0">
      <dxf>
        <fill>
          <patternFill>
            <bgColor theme="0"/>
          </patternFill>
        </fill>
      </dxf>
    </rfmt>
    <rfmt sheetId="1" sqref="J197" start="0" length="0">
      <dxf>
        <fill>
          <patternFill>
            <bgColor theme="0"/>
          </patternFill>
        </fill>
      </dxf>
    </rfmt>
  </rrc>
  <rcc rId="7533" sId="1">
    <oc r="D193">
      <f>#REF!+D194</f>
    </oc>
    <nc r="D193">
      <f>D194</f>
    </nc>
  </rcc>
  <rcc rId="7534" sId="1">
    <oc r="E193">
      <f>#REF!+E194</f>
    </oc>
    <nc r="E193">
      <f>E194</f>
    </nc>
  </rcc>
  <rcc rId="7535" sId="1">
    <oc r="F193">
      <f>#REF!+F194</f>
    </oc>
    <nc r="F193">
      <f>F194</f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36" sId="1">
    <oc r="B108" t="inlineStr">
      <is>
        <t>03 2 00 L3042</t>
      </is>
    </oc>
    <nc r="B108" t="inlineStr">
      <is>
        <t>03 2 00 L3043</t>
      </is>
    </nc>
  </rcc>
  <rcc rId="7537" sId="1">
    <oc r="B109" t="inlineStr">
      <is>
        <t>03 2 00 L3042</t>
      </is>
    </oc>
    <nc r="B109" t="inlineStr">
      <is>
        <t>03 2 00 L3043</t>
      </is>
    </nc>
  </rcc>
  <rcc rId="7538" sId="1">
    <oc r="B110" t="inlineStr">
      <is>
        <t>03 2 00 L3042</t>
      </is>
    </oc>
    <nc r="B110" t="inlineStr">
      <is>
        <t>03 2 00 L3043</t>
      </is>
    </nc>
  </rcc>
  <rcc rId="7539" sId="1">
    <oc r="B111" t="inlineStr">
      <is>
        <t>03 2 00 L3042</t>
      </is>
    </oc>
    <nc r="B111" t="inlineStr">
      <is>
        <t>03 2 00 L3043</t>
      </is>
    </nc>
  </rcc>
  <rcc rId="7540" sId="1" numFmtId="34">
    <oc r="D115">
      <v>25486711.93</v>
    </oc>
    <nc r="D115">
      <f>25486711.93-25486711.93</f>
    </nc>
  </rcc>
  <rcc rId="7541" sId="1" numFmtId="34">
    <oc r="E115">
      <v>21987743.629999999</v>
    </oc>
    <nc r="E115">
      <f>21987743.63-21987743.63</f>
    </nc>
  </rcc>
  <rcc rId="7542" sId="1" numFmtId="34">
    <oc r="F115">
      <v>20111634.239999998</v>
    </oc>
    <nc r="F115">
      <f>20111634.24-20111634.24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43" sId="1">
    <oc r="D111">
      <f>25802139.92-25776337.78-25802.14</f>
    </oc>
    <nc r="D111">
      <f>25486711.93</f>
    </nc>
  </rcc>
  <rcc rId="7544" sId="1" numFmtId="34">
    <oc r="E111">
      <f>22270154.85-22247884.7-22270.15</f>
    </oc>
    <nc r="E111">
      <v>21987743.629999999</v>
    </nc>
  </rcc>
  <rcc rId="7545" sId="1" numFmtId="34">
    <oc r="F111">
      <f>20858918.92-20838060-20858.92</f>
    </oc>
    <nc r="F111">
      <v>20111634.239999998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46" sId="1" numFmtId="34">
    <oc r="D420">
      <v>2022754.85</v>
    </oc>
    <nc r="D420">
      <v>0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3" sId="1">
    <oc r="B349" t="inlineStr">
      <is>
        <t>10 1 00 L5760</t>
      </is>
    </oc>
    <nc r="B349" t="inlineStr">
      <is>
        <t>10 1 00 L576Л</t>
      </is>
    </nc>
  </rcc>
  <rcc rId="3224" sId="1">
    <oc r="B350" t="inlineStr">
      <is>
        <t>10 1 00 L5760</t>
      </is>
    </oc>
    <nc r="B350" t="inlineStr">
      <is>
        <t>10 1 00 L576Л</t>
      </is>
    </nc>
  </rcc>
  <rcc rId="3225" sId="1">
    <oc r="B351" t="inlineStr">
      <is>
        <t>10 1 00 L5760</t>
      </is>
    </oc>
    <nc r="B351" t="inlineStr">
      <is>
        <t>10 1 00 L576Л</t>
      </is>
    </nc>
  </rcc>
  <rcc rId="3226" sId="1">
    <oc r="B352" t="inlineStr">
      <is>
        <t>10 1 00 L5760</t>
      </is>
    </oc>
    <nc r="B352" t="inlineStr">
      <is>
        <t>10 1 00 L576Л</t>
      </is>
    </nc>
  </rcc>
  <rfmt sheetId="1" sqref="B349:B352">
    <dxf>
      <fill>
        <patternFill patternType="solid"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'!$A$1:$F$807</formula>
    <oldFormula>'программы '!$A$1:$F$807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'!$A$1:$A$820</formula>
    <oldFormula>'программы '!$A$1:$A$820</oldFormula>
  </rdn>
  <rcv guid="{D9B90A86-BE39-4FED-8226-084809D277F3}" action="add"/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47" sId="1" ref="A421:XFD421" action="insertRow"/>
  <rrc rId="7548" sId="1" ref="A421:XFD421" action="insertRow"/>
  <rcc rId="7549" sId="1">
    <nc r="C422">
      <v>850</v>
    </nc>
  </rcc>
  <rcc rId="7550" sId="1">
    <nc r="C421">
      <v>800</v>
    </nc>
  </rcc>
  <rfmt sheetId="1" sqref="A421:A422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7551" sId="1">
    <nc r="A422" t="inlineStr">
      <is>
        <t>Уплата налогов, сборов и иных платежей</t>
      </is>
    </nc>
  </rcc>
  <rcc rId="7552" sId="1">
    <nc r="A421" t="inlineStr">
      <is>
        <t>Иные бюджетные ассигнования</t>
      </is>
    </nc>
  </rcc>
  <rcc rId="7553" sId="1">
    <nc r="B421" t="inlineStr">
      <is>
        <t>19 0 00 83650</t>
      </is>
    </nc>
  </rcc>
  <rcc rId="7554" sId="1">
    <nc r="B422" t="inlineStr">
      <is>
        <t>19 0 00 83650</t>
      </is>
    </nc>
  </rcc>
  <rcc rId="7555" sId="1">
    <nc r="D421">
      <f>D422</f>
    </nc>
  </rcc>
  <rcc rId="7556" sId="1">
    <nc r="E421">
      <f>E422</f>
    </nc>
  </rcc>
  <rcc rId="7557" sId="1">
    <nc r="F421">
      <f>F422</f>
    </nc>
  </rcc>
  <rcc rId="7558" sId="1">
    <oc r="D417">
      <f>D418</f>
    </oc>
    <nc r="D417">
      <f>D418+D421</f>
    </nc>
  </rcc>
  <rcc rId="7559" sId="1">
    <oc r="E417">
      <f>E418</f>
    </oc>
    <nc r="E417">
      <f>E418+E421</f>
    </nc>
  </rcc>
  <rcc rId="7560" sId="1">
    <oc r="F417">
      <f>F418</f>
    </oc>
    <nc r="F417">
      <f>F418+F421</f>
    </nc>
  </rcc>
  <rcc rId="7561" sId="1" numFmtId="34">
    <nc r="D422">
      <v>2022754.85</v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62" sId="1" numFmtId="34">
    <oc r="D623">
      <v>1541000</v>
    </oc>
    <nc r="D623">
      <v>0</v>
    </nc>
  </rcc>
  <rcc rId="7563" sId="1" numFmtId="34">
    <oc r="E623">
      <v>1541000</v>
    </oc>
    <nc r="E623">
      <v>0</v>
    </nc>
  </rcc>
  <rcc rId="7564" sId="1" numFmtId="34">
    <oc r="F623">
      <v>1541000</v>
    </oc>
    <nc r="F623">
      <v>0</v>
    </nc>
  </rcc>
  <rcc rId="7565" sId="1" numFmtId="34">
    <oc r="D627">
      <v>0</v>
    </oc>
    <nc r="D627">
      <v>1247880</v>
    </nc>
  </rcc>
  <rcc rId="7566" sId="1" numFmtId="34">
    <nc r="E627">
      <v>1247880</v>
    </nc>
  </rcc>
  <rcc rId="7567" sId="1" numFmtId="34">
    <nc r="F627">
      <v>1247880</v>
    </nc>
  </rcc>
  <rcc rId="7568" sId="1" numFmtId="34">
    <oc r="D631">
      <v>0</v>
    </oc>
    <nc r="D631">
      <v>293120</v>
    </nc>
  </rcc>
  <rcc rId="7569" sId="1" numFmtId="34">
    <nc r="E631">
      <v>293120</v>
    </nc>
  </rcc>
  <rcc rId="7570" sId="1" numFmtId="34">
    <nc r="F631">
      <v>293120</v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71" sId="1" ref="A226:XFD226" action="insertRow">
    <undo index="0" exp="area" ref3D="1" dr="$A$247:$XFD$251" dn="Z_7545950A_6E5E_45AB_942B_6C4201A60E54_.wvu.Rows" sId="1"/>
    <undo index="0" exp="area" ref3D="1" dr="$A$247:$XFD$251" dn="Z_30E81E54_DD45_4653_9DCD_548F6723F554_.wvu.Rows" sId="1"/>
  </rrc>
  <rcc rId="7572" sId="1">
    <nc r="C226">
      <v>243</v>
    </nc>
  </rcc>
  <rcc rId="7573" sId="1">
    <nc r="A226" t="inlineStr">
      <is>
        <t>Закупка товаров, работ и услуг в целях капитального ремонта государственного (муниципального) имущества</t>
      </is>
    </nc>
  </rcc>
  <rcc rId="7574" sId="1">
    <nc r="B226" t="inlineStr">
      <is>
        <t>04 0 00 83680</t>
      </is>
    </nc>
  </rcc>
  <rcc rId="7575" sId="1">
    <oc r="D225">
      <f>D227</f>
    </oc>
    <nc r="D225">
      <f>D227+D226</f>
    </nc>
  </rcc>
  <rcc rId="7576" sId="1">
    <oc r="E225">
      <f>E227</f>
    </oc>
    <nc r="E225">
      <f>E227+E226</f>
    </nc>
  </rcc>
  <rcc rId="7577" sId="1">
    <oc r="F225">
      <f>F227</f>
    </oc>
    <nc r="F225">
      <f>F227+F226</f>
    </nc>
  </rcc>
  <rcc rId="7578" sId="1" numFmtId="34">
    <nc r="D226">
      <v>11650</v>
    </nc>
  </rcc>
  <rcc rId="7579" sId="1" numFmtId="34">
    <oc r="D227">
      <v>5173948.6100000003</v>
    </oc>
    <nc r="D227">
      <f>5173948.61-11650</f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80" sId="1" numFmtId="34">
    <nc r="E226">
      <v>0</v>
    </nc>
  </rcc>
  <rcc rId="7581" sId="1" numFmtId="34">
    <nc r="F226">
      <v>0</v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82" sId="1" numFmtId="34">
    <oc r="D567">
      <v>2298325.65</v>
    </oc>
    <nc r="D567">
      <f>2298325.65+34431.64</f>
    </nc>
  </rcc>
  <rcc rId="7583" sId="1" numFmtId="34">
    <oc r="E567">
      <v>2551874.04</v>
    </oc>
    <nc r="E567">
      <f>2551874.04+25384.02</f>
    </nc>
  </rcc>
  <rcc rId="7584" sId="1" numFmtId="34">
    <oc r="F567">
      <v>2656774.19</v>
    </oc>
    <nc r="F567">
      <f>2656774.19+26563.74</f>
    </nc>
  </rcc>
  <rcc rId="7585" sId="1" numFmtId="34">
    <oc r="D569">
      <v>694094.34629999998</v>
    </oc>
    <nc r="D569">
      <f>694094.3463+10398.36</f>
    </nc>
  </rcc>
  <rfmt sheetId="1" sqref="D569:F569">
    <dxf>
      <numFmt numFmtId="168" formatCode="#,##0.00_ ;\-#,##0.00\ "/>
    </dxf>
  </rfmt>
  <rfmt sheetId="1" sqref="D569:F569">
    <dxf>
      <alignment horizontal="center" readingOrder="0"/>
    </dxf>
  </rfmt>
  <rfmt sheetId="1" sqref="D569:F569">
    <dxf>
      <alignment horizontal="right" readingOrder="0"/>
    </dxf>
  </rfmt>
  <rfmt sheetId="1" sqref="D569:F569">
    <dxf>
      <numFmt numFmtId="164" formatCode="_-* #,##0.00_р_._-;\-* #,##0.00_р_._-;_-* &quot;-&quot;??_р_._-;_-@_-"/>
    </dxf>
  </rfmt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86" sId="1" numFmtId="34">
    <oc r="E569">
      <v>770665.96007999999</v>
    </oc>
    <nc r="E569">
      <f>770665.96008+7665.98</f>
    </nc>
  </rcc>
  <rcc rId="7587" sId="1" numFmtId="34">
    <oc r="F569">
      <v>802345.80537999992</v>
    </oc>
    <nc r="F569">
      <f>802345.80538+8022.26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88" sId="1">
    <oc r="D569">
      <f>694094.3463+10398.36</f>
    </oc>
    <nc r="D569">
      <f>694094.34+10398.36</f>
    </nc>
  </rcc>
  <rcc rId="7589" sId="1">
    <oc r="E569">
      <f>770665.96008+7665.98</f>
    </oc>
    <nc r="E569">
      <f>770665.96+7665.98</f>
    </nc>
  </rcc>
  <rcc rId="7590" sId="1">
    <oc r="F569">
      <f>802345.80538+8022.26</f>
    </oc>
    <nc r="F569">
      <f>802345.8+8022.26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1" sId="1" numFmtId="34">
    <oc r="D569">
      <f>694094.34+10398.36</f>
    </oc>
    <nc r="D569">
      <v>704492.71</v>
    </nc>
  </rcc>
  <rcc rId="7592" sId="1" numFmtId="34">
    <oc r="F569">
      <f>802345.8+8022.26</f>
    </oc>
    <nc r="F569">
      <v>810368.07</v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3" sId="1" numFmtId="34">
    <oc r="D301">
      <v>144000</v>
    </oc>
    <nc r="D301">
      <f>144000+2237238.31</f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4" sId="1" numFmtId="34">
    <oc r="E196">
      <v>36023678.159999996</v>
    </oc>
    <nc r="E196">
      <v>0</v>
    </nc>
  </rcc>
  <rcc rId="7595" sId="1" numFmtId="34">
    <oc r="D192">
      <v>12560227.27</v>
    </oc>
    <nc r="D192">
      <v>12419213.48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0" sId="1">
    <oc r="B423" t="inlineStr">
      <is>
        <t>13 0 00 L4970</t>
      </is>
    </oc>
    <nc r="B423" t="inlineStr">
      <is>
        <t>13 0 00 L4971</t>
      </is>
    </nc>
  </rcc>
  <rcc rId="3231" sId="1">
    <oc r="B424" t="inlineStr">
      <is>
        <t>13 0 00 L4970</t>
      </is>
    </oc>
    <nc r="B424" t="inlineStr">
      <is>
        <t>13 0 00 L4971</t>
      </is>
    </nc>
  </rcc>
  <rcc rId="3232" sId="1">
    <oc r="B425" t="inlineStr">
      <is>
        <t>13 0 00 L4970</t>
      </is>
    </oc>
    <nc r="B425" t="inlineStr">
      <is>
        <t>13 0 00 L4971</t>
      </is>
    </nc>
  </rcc>
  <rcc rId="3233" sId="1">
    <oc r="B426" t="inlineStr">
      <is>
        <t>13 0 00 L4970</t>
      </is>
    </oc>
    <nc r="B426" t="inlineStr">
      <is>
        <t>13 0 00 L4971</t>
      </is>
    </nc>
  </rcc>
  <rfmt sheetId="1" sqref="B423:B426">
    <dxf>
      <fill>
        <patternFill patternType="solid">
          <bgColor theme="6" tint="0.59999389629810485"/>
        </patternFill>
      </fill>
    </dxf>
  </rfmt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96" sId="1" ref="A58:XFD58" action="insertRow">
    <undo index="0" exp="area" ref3D="1" dr="$A$248:$XFD$252" dn="Z_7545950A_6E5E_45AB_942B_6C4201A60E54_.wvu.Rows" sId="1"/>
    <undo index="0" exp="area" ref3D="1" dr="$A$248:$XFD$252" dn="Z_30E81E54_DD45_4653_9DCD_548F6723F554_.wvu.Rows" sId="1"/>
  </rrc>
  <rrc rId="7597" sId="1" ref="A58:XFD58" action="insertRow">
    <undo index="0" exp="area" ref3D="1" dr="$A$249:$XFD$253" dn="Z_7545950A_6E5E_45AB_942B_6C4201A60E54_.wvu.Rows" sId="1"/>
    <undo index="0" exp="area" ref3D="1" dr="$A$249:$XFD$253" dn="Z_30E81E54_DD45_4653_9DCD_548F6723F554_.wvu.Rows" sId="1"/>
  </rrc>
  <rrc rId="7598" sId="1" ref="A58:XFD58" action="insertRow">
    <undo index="0" exp="area" ref3D="1" dr="$A$250:$XFD$254" dn="Z_7545950A_6E5E_45AB_942B_6C4201A60E54_.wvu.Rows" sId="1"/>
    <undo index="0" exp="area" ref3D="1" dr="$A$250:$XFD$254" dn="Z_30E81E54_DD45_4653_9DCD_548F6723F554_.wvu.Rows" sId="1"/>
  </rrc>
  <rrc rId="7599" sId="1" ref="A58:XFD58" action="insertRow">
    <undo index="0" exp="area" ref3D="1" dr="$A$251:$XFD$255" dn="Z_7545950A_6E5E_45AB_942B_6C4201A60E54_.wvu.Rows" sId="1"/>
    <undo index="0" exp="area" ref3D="1" dr="$A$251:$XFD$255" dn="Z_30E81E54_DD45_4653_9DCD_548F6723F554_.wvu.Rows" sId="1"/>
  </rrc>
  <rcc rId="7600" sId="1">
    <nc r="C61">
      <v>612</v>
    </nc>
  </rcc>
  <rcc rId="7601" sId="1">
    <nc r="C60">
      <v>610</v>
    </nc>
  </rcc>
  <rcc rId="7602" sId="1">
    <nc r="C59">
      <v>600</v>
    </nc>
  </rcc>
  <rcc rId="7603" sId="1">
    <nc r="B58" t="inlineStr">
      <is>
        <t>03 1 00 Э4660</t>
      </is>
    </nc>
  </rcc>
  <rcc rId="7604" sId="1">
    <nc r="B59" t="inlineStr">
      <is>
        <t>03 1 00 Э4660</t>
      </is>
    </nc>
  </rcc>
  <rcc rId="7605" sId="1">
    <nc r="B60" t="inlineStr">
      <is>
        <t>03 1 00 Э4660</t>
      </is>
    </nc>
  </rcc>
  <rcc rId="7606" sId="1">
    <nc r="B61" t="inlineStr">
      <is>
        <t>03 1 00 Э4660</t>
      </is>
    </nc>
  </rcc>
  <rcc rId="7607" sId="1">
    <nc r="D60">
      <f>D61</f>
    </nc>
  </rcc>
  <rcc rId="7608" sId="1">
    <nc r="E60">
      <f>E61</f>
    </nc>
  </rcc>
  <rcc rId="7609" sId="1">
    <nc r="F60">
      <f>F61</f>
    </nc>
  </rcc>
  <rcc rId="7610" sId="1">
    <nc r="D58">
      <f>D59</f>
    </nc>
  </rcc>
  <rcc rId="7611" sId="1">
    <nc r="E58">
      <f>E59</f>
    </nc>
  </rcc>
  <rcc rId="7612" sId="1">
    <nc r="F58">
      <f>F59</f>
    </nc>
  </rcc>
  <rcc rId="7613" sId="1">
    <nc r="D59">
      <f>D60</f>
    </nc>
  </rcc>
  <rcc rId="7614" sId="1">
    <nc r="E59">
      <f>E60</f>
    </nc>
  </rcc>
  <rcc rId="7615" sId="1">
    <nc r="F59">
      <f>F60</f>
    </nc>
  </rcc>
  <rcc rId="7616" sId="1">
    <nc r="A61" t="inlineStr">
      <is>
        <t>Субсидии бюджетным учреждениям на  иные цели</t>
      </is>
    </nc>
  </rcc>
  <rcc rId="7617" sId="1">
    <nc r="A60" t="inlineStr">
      <is>
        <t>Субсидии бюджетным учреждениям</t>
      </is>
    </nc>
  </rcc>
  <rcc rId="7618" sId="1">
    <nc r="A59" t="inlineStr">
      <is>
        <t>Предоставление субсидий бюджетным, автономным учреждениям и иным некоммерческим организациям</t>
      </is>
    </nc>
  </rcc>
  <rcc rId="7619" sId="1">
    <nc r="A58" t="inlineStr">
      <is>
    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    </is>
    </nc>
  </rcc>
  <rcc rId="7620" sId="1">
    <oc r="D45">
      <f>D46+D50+D62+D67+D54</f>
    </oc>
    <nc r="D45">
      <f>D46+D50+D62+D67+D54+D58</f>
    </nc>
  </rcc>
  <rcc rId="7621" sId="1">
    <oc r="E45">
      <f>E46+E50+E62+E67+E54</f>
    </oc>
    <nc r="E45">
      <f>E46+E50+E62+E67+E54+E58</f>
    </nc>
  </rcc>
  <rcc rId="7622" sId="1">
    <oc r="F45">
      <f>F46+F50+F62+F67+F54</f>
    </oc>
    <nc r="F45">
      <f>F46+F50+F62+F67+F54+F58</f>
    </nc>
  </rcc>
  <rcc rId="7623" sId="1" numFmtId="34">
    <nc r="D61">
      <v>1281000</v>
    </nc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624" sId="1" ref="A80:XFD80" action="insertRow">
    <undo index="0" exp="area" ref3D="1" dr="$A$252:$XFD$256" dn="Z_7545950A_6E5E_45AB_942B_6C4201A60E54_.wvu.Rows" sId="1"/>
    <undo index="0" exp="area" ref3D="1" dr="$A$252:$XFD$256" dn="Z_30E81E54_DD45_4653_9DCD_548F6723F554_.wvu.Rows" sId="1"/>
  </rrc>
  <rrc rId="7625" sId="1" ref="A80:XFD80" action="insertRow">
    <undo index="0" exp="area" ref3D="1" dr="$A$253:$XFD$257" dn="Z_7545950A_6E5E_45AB_942B_6C4201A60E54_.wvu.Rows" sId="1"/>
    <undo index="0" exp="area" ref3D="1" dr="$A$253:$XFD$257" dn="Z_30E81E54_DD45_4653_9DCD_548F6723F554_.wvu.Rows" sId="1"/>
  </rrc>
  <rrc rId="7626" sId="1" ref="A80:XFD80" action="insertRow">
    <undo index="0" exp="area" ref3D="1" dr="$A$254:$XFD$258" dn="Z_7545950A_6E5E_45AB_942B_6C4201A60E54_.wvu.Rows" sId="1"/>
    <undo index="0" exp="area" ref3D="1" dr="$A$254:$XFD$258" dn="Z_30E81E54_DD45_4653_9DCD_548F6723F554_.wvu.Rows" sId="1"/>
  </rrc>
  <rrc rId="7627" sId="1" ref="A80:XFD80" action="insertRow">
    <undo index="0" exp="area" ref3D="1" dr="$A$255:$XFD$259" dn="Z_7545950A_6E5E_45AB_942B_6C4201A60E54_.wvu.Rows" sId="1"/>
    <undo index="0" exp="area" ref3D="1" dr="$A$255:$XFD$259" dn="Z_30E81E54_DD45_4653_9DCD_548F6723F554_.wvu.Rows" sId="1"/>
  </rrc>
  <rcc rId="7628" sId="1" numFmtId="34">
    <nc r="C83">
      <v>612</v>
    </nc>
  </rcc>
  <rcc rId="7629" sId="1" numFmtId="34">
    <nc r="C82">
      <v>610</v>
    </nc>
  </rcc>
  <rcc rId="7630" sId="1" numFmtId="34">
    <nc r="C81">
      <v>600</v>
    </nc>
  </rcc>
  <rcc rId="7631" sId="1">
    <nc r="D82">
      <f>D83</f>
    </nc>
  </rcc>
  <rcc rId="7632" sId="1">
    <nc r="E82">
      <f>E83</f>
    </nc>
  </rcc>
  <rcc rId="7633" sId="1">
    <nc r="F82">
      <f>F83</f>
    </nc>
  </rcc>
  <rcc rId="7634" sId="1">
    <nc r="D80">
      <f>D81</f>
    </nc>
  </rcc>
  <rcc rId="7635" sId="1">
    <nc r="E80">
      <f>E81</f>
    </nc>
  </rcc>
  <rcc rId="7636" sId="1">
    <nc r="F80">
      <f>F81</f>
    </nc>
  </rcc>
  <rcc rId="7637" sId="1">
    <nc r="D81">
      <f>D82</f>
    </nc>
  </rcc>
  <rcc rId="7638" sId="1">
    <nc r="E81">
      <f>E82</f>
    </nc>
  </rcc>
  <rcc rId="7639" sId="1">
    <nc r="F81">
      <f>F82</f>
    </nc>
  </rcc>
  <rcc rId="7640" sId="1">
    <oc r="D71">
      <f>D72+D76+D84+D93+D112+D116+D100+D108+D104+D129+D89+D124+D120</f>
    </oc>
    <nc r="D71">
      <f>D72+D76+D84+D93+D112+D116+D100+D108+D104+D129+D89+D124+D120+D80</f>
    </nc>
  </rcc>
  <rcc rId="7641" sId="1">
    <oc r="E71">
      <f>E72+E76+E84+E93+E112+E116+E100+E108+E104+E129+E89+E124+E120</f>
    </oc>
    <nc r="E71">
      <f>E72+E76+E84+E93+E112+E116+E100+E108+E104+E129+E89+E124+E120+E80</f>
    </nc>
  </rcc>
  <rcc rId="7642" sId="1">
    <oc r="F71">
      <f>F72+F76+F84+F93+F112+F116+F100+F108+F104+F129+F89+F124+F120</f>
    </oc>
    <nc r="F71">
      <f>F72+F76+F84+F93+F112+F116+F100+F108+F104+F129+F89+F124+F120+F80</f>
    </nc>
  </rcc>
  <rcc rId="7643" sId="1">
    <nc r="B83" t="inlineStr">
      <is>
        <t>03 2 00 Э4660</t>
      </is>
    </nc>
  </rcc>
  <rcc rId="7644" sId="1">
    <nc r="B82" t="inlineStr">
      <is>
        <t>03 2 00 Э4660</t>
      </is>
    </nc>
  </rcc>
  <rcc rId="7645" sId="1">
    <nc r="B81" t="inlineStr">
      <is>
        <t>03 2 00 Э4660</t>
      </is>
    </nc>
  </rcc>
  <rcc rId="7646" sId="1">
    <nc r="B80" t="inlineStr">
      <is>
        <t>03 2 00 Э4660</t>
      </is>
    </nc>
  </rcc>
  <rcc rId="7647" sId="1">
    <nc r="A83" t="inlineStr">
      <is>
        <t>Субсидии бюджетным учреждениям на иные цели</t>
      </is>
    </nc>
  </rcc>
  <rcc rId="7648" sId="1">
    <nc r="A82" t="inlineStr">
      <is>
        <t>Субсидии бюджетным учреждениям</t>
      </is>
    </nc>
  </rcc>
  <rcc rId="7649" sId="1">
    <nc r="A81" t="inlineStr">
      <is>
        <t>Предоставление субсидий бюджетным, автономным учреждениям и иным некоммерческим организациям</t>
      </is>
    </nc>
  </rcc>
  <rcc rId="7650" sId="1">
    <nc r="A80" t="inlineStr">
      <is>
    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    </is>
    </nc>
  </rcc>
  <rcc rId="7651" sId="1" numFmtId="34">
    <nc r="D83">
      <v>1144825.92</v>
    </nc>
  </rcc>
  <rcv guid="{D9B90A86-BE39-4FED-8226-084809D277F3}" action="delete"/>
  <rdn rId="0" localSheetId="1" customView="1" name="Z_D9B90A86_BE39_4FED_8226_084809D277F3_.wvu.PrintArea" hidden="1" oldHidden="1">
    <formula>'программы '!$A$1:$F$711</formula>
    <oldFormula>'программы '!$A$1:$F$711</oldFormula>
  </rdn>
  <rdn rId="0" localSheetId="1" customView="1" name="Z_D9B90A86_BE39_4FED_8226_084809D277F3_.wvu.FilterData" hidden="1" oldHidden="1">
    <formula>'программы '!$C$1:$C$717</formula>
    <oldFormula>'программы '!$C$1:$C$717</oldFormula>
  </rdn>
  <rcv guid="{D9B90A86-BE39-4FED-8226-084809D277F3}" action="add"/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654" sId="1" ref="A420:XFD420" action="insertRow"/>
  <rrc rId="7655" sId="1" ref="A420:XFD420" action="insertRow"/>
  <rrc rId="7656" sId="1" ref="A420:XFD420" action="insertRow"/>
  <rrc rId="7657" sId="1" ref="A421:XFD421" action="insertRow"/>
  <rrc rId="7658" sId="1" ref="A420:XFD420" action="insertRow"/>
  <rcc rId="7659" sId="1">
    <nc r="C424">
      <v>244</v>
    </nc>
  </rcc>
  <rcc rId="7660" sId="1">
    <nc r="C423">
      <v>240</v>
    </nc>
  </rcc>
  <rcc rId="7661" sId="1">
    <nc r="C422">
      <v>200</v>
    </nc>
  </rcc>
  <rcc rId="7662" sId="1">
    <nc r="D423">
      <f>D424</f>
    </nc>
  </rcc>
  <rcc rId="7663" sId="1">
    <nc r="E423">
      <f>E424</f>
    </nc>
  </rcc>
  <rcc rId="7664" sId="1">
    <nc r="F423">
      <f>F424</f>
    </nc>
  </rcc>
  <rcc rId="7665" sId="1">
    <nc r="D420">
      <f>D421</f>
    </nc>
  </rcc>
  <rcc rId="7666" sId="1">
    <nc r="E420">
      <f>E421</f>
    </nc>
  </rcc>
  <rcc rId="7667" sId="1">
    <nc r="F420">
      <f>F421</f>
    </nc>
  </rcc>
  <rcc rId="7668" sId="1">
    <nc r="D421">
      <f>D422</f>
    </nc>
  </rcc>
  <rcc rId="7669" sId="1">
    <nc r="E421">
      <f>E422</f>
    </nc>
  </rcc>
  <rcc rId="7670" sId="1">
    <nc r="F421">
      <f>F422</f>
    </nc>
  </rcc>
  <rcc rId="7671" sId="1">
    <nc r="D422">
      <f>D423</f>
    </nc>
  </rcc>
  <rcc rId="7672" sId="1">
    <nc r="E422">
      <f>E423</f>
    </nc>
  </rcc>
  <rcc rId="7673" sId="1">
    <nc r="F422">
      <f>F423</f>
    </nc>
  </rcc>
  <rcc rId="7674" sId="1">
    <nc r="B424" t="inlineStr">
      <is>
        <t>17 0 И4 55551</t>
      </is>
    </nc>
  </rcc>
  <rcc rId="7675" sId="1">
    <nc r="B423" t="inlineStr">
      <is>
        <t>17 0 И4 55551</t>
      </is>
    </nc>
  </rcc>
  <rcc rId="7676" sId="1">
    <nc r="B422" t="inlineStr">
      <is>
        <t>17 0 И4 55551</t>
      </is>
    </nc>
  </rcc>
  <rcc rId="7677" sId="1">
    <nc r="B421" t="inlineStr">
      <is>
        <t>17 0 И4 55551</t>
      </is>
    </nc>
  </rcc>
  <rcc rId="7678" sId="1">
    <nc r="B420" t="inlineStr">
      <is>
        <t>17 0 И4 00000</t>
      </is>
    </nc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79" sId="1">
    <nc r="A424" t="inlineStr">
      <is>
        <t xml:space="preserve">Прочая закупка товаров, работ и услуг </t>
      </is>
    </nc>
  </rcc>
  <rcc rId="7680" sId="1">
    <nc r="A423" t="inlineStr">
      <is>
        <t>Иные закупки товаров, работ и услуг для обеспечения государственных (муниципальных) нужд</t>
      </is>
    </nc>
  </rcc>
  <rcc rId="7681" sId="1">
    <nc r="A422" t="inlineStr">
      <is>
        <t>Закупка товаров, работ и услуг для обеспечения государственных (муниципальных) нужд</t>
      </is>
    </nc>
  </rcc>
  <rcc rId="7682" sId="1">
    <nc r="A421" t="inlineStr">
      <is>
        <t>Реализация муниципальных программ формирования современной городской среды</t>
      </is>
    </nc>
  </rcc>
  <rcc rId="7683" sId="1">
    <nc r="A420" t="inlineStr">
      <is>
        <t>Мероприятия в рамках Федерального проекта "Формирование комфортной городской среды"</t>
      </is>
    </nc>
  </rcc>
  <rcc rId="7684" sId="1">
    <oc r="D415">
      <f>D416</f>
    </oc>
    <nc r="D415">
      <f>D416+D420</f>
    </nc>
  </rcc>
  <rcc rId="7685" sId="1">
    <oc r="E415">
      <f>E416</f>
    </oc>
    <nc r="E415">
      <f>E416+E420</f>
    </nc>
  </rcc>
  <rcc rId="7686" sId="1">
    <oc r="F415">
      <f>F416</f>
    </oc>
    <nc r="F415">
      <f>F416+F420</f>
    </nc>
  </rcc>
  <rcc rId="7687" sId="1" numFmtId="34">
    <nc r="D424">
      <v>1000000</v>
    </nc>
  </rcc>
  <rcc rId="7688" sId="1" numFmtId="34">
    <nc r="E424">
      <v>960882.32</v>
    </nc>
  </rcc>
  <rcc rId="7689" sId="1" numFmtId="34">
    <nc r="F424">
      <v>922578.43</v>
    </nc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690" sId="1" ref="A712:XFD712" action="insertRow"/>
  <rrc rId="7691" sId="1" ref="A712:XFD712" action="insertRow"/>
  <rrc rId="7692" sId="1" ref="A712:XFD712" action="insertRow"/>
  <rrc rId="7693" sId="1" ref="A713:XFD713" action="insertRow"/>
  <rrc rId="7694" sId="1" ref="A712:XFD712" action="insertRow"/>
  <rcc rId="7695" sId="1">
    <nc r="C716">
      <v>870</v>
    </nc>
  </rcc>
  <rfmt sheetId="1" sqref="A712:F716" start="0" length="2147483647">
    <dxf>
      <font>
        <b val="0"/>
      </font>
    </dxf>
  </rfmt>
  <rcc rId="7696" sId="1">
    <nc r="C715">
      <v>800</v>
    </nc>
  </rcc>
  <rrc rId="7697" sId="1" ref="A712:XFD712" action="deleteRow">
    <rfmt sheetId="1" xfDxf="1" sqref="A712:XFD712" start="0" length="0">
      <dxf>
        <font>
          <name val="Times New Roman"/>
          <scheme val="none"/>
        </font>
      </dxf>
    </rfmt>
    <rfmt sheetId="1" sqref="A712" start="0" length="0">
      <dxf>
        <font>
          <i/>
          <name val="Times New Roman"/>
          <scheme val="none"/>
        </font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712" start="0" length="0">
      <dxf>
        <numFmt numFmtId="164" formatCode="_-* #,##0.00_р_._-;\-* #,##0.00_р_._-;_-* &quot;-&quot;??_р_._-;_-@_-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712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12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ill>
          <patternFill patternType="solid">
            <bgColor theme="0"/>
          </patternFill>
        </fill>
      </dxf>
    </rfmt>
    <rfmt sheetId="1" sqref="H712" start="0" length="0">
      <dxf>
        <fill>
          <patternFill patternType="solid">
            <bgColor theme="0"/>
          </patternFill>
        </fill>
      </dxf>
    </rfmt>
    <rfmt sheetId="1" sqref="I712" start="0" length="0">
      <dxf>
        <fill>
          <patternFill patternType="solid">
            <bgColor theme="0"/>
          </patternFill>
        </fill>
      </dxf>
    </rfmt>
    <rfmt sheetId="1" sqref="J712" start="0" length="0">
      <dxf>
        <fill>
          <patternFill patternType="solid">
            <bgColor theme="0"/>
          </patternFill>
        </fill>
      </dxf>
    </rfmt>
  </rrc>
  <rrc rId="7698" sId="1" ref="A712:XFD712" action="deleteRow">
    <rfmt sheetId="1" xfDxf="1" sqref="A712:XFD712" start="0" length="0">
      <dxf>
        <font>
          <name val="Times New Roman"/>
          <scheme val="none"/>
        </font>
      </dxf>
    </rfmt>
    <rfmt sheetId="1" sqref="A712" start="0" length="0">
      <dxf>
        <font>
          <i/>
          <name val="Times New Roman"/>
          <scheme val="none"/>
        </font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712" start="0" length="0">
      <dxf>
        <numFmt numFmtId="164" formatCode="_-* #,##0.00_р_._-;\-* #,##0.00_р_._-;_-* &quot;-&quot;??_р_._-;_-@_-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712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12" start="0" length="0">
      <dxf>
        <numFmt numFmtId="164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ill>
          <patternFill patternType="solid">
            <bgColor theme="0"/>
          </patternFill>
        </fill>
      </dxf>
    </rfmt>
    <rfmt sheetId="1" sqref="H712" start="0" length="0">
      <dxf>
        <fill>
          <patternFill patternType="solid">
            <bgColor theme="0"/>
          </patternFill>
        </fill>
      </dxf>
    </rfmt>
    <rfmt sheetId="1" sqref="I712" start="0" length="0">
      <dxf>
        <fill>
          <patternFill patternType="solid">
            <bgColor theme="0"/>
          </patternFill>
        </fill>
      </dxf>
    </rfmt>
    <rfmt sheetId="1" sqref="J712" start="0" length="0">
      <dxf>
        <fill>
          <patternFill patternType="solid">
            <bgColor theme="0"/>
          </patternFill>
        </fill>
      </dxf>
    </rfmt>
  </rrc>
  <rcc rId="7699" sId="1">
    <nc r="A712" t="inlineStr">
      <is>
        <t>Развитие инициативных проектов в рамках регионального проекта "Комфортное Поморье"</t>
      </is>
    </nc>
  </rcc>
  <rcc rId="7700" sId="1">
    <nc r="A714" t="inlineStr">
      <is>
        <t>Резервные средства</t>
      </is>
    </nc>
  </rcc>
  <rfmt sheetId="1" sqref="A713:A714" start="0" length="2147483647">
    <dxf>
      <font>
        <i val="0"/>
      </font>
    </dxf>
  </rfmt>
  <rcc rId="7701" sId="1">
    <nc r="A713" t="inlineStr">
      <is>
        <t>Иные бюджетные ассигнования</t>
      </is>
    </nc>
  </rcc>
  <rcc rId="7702" sId="1">
    <nc r="D713">
      <f>D714</f>
    </nc>
  </rcc>
  <rcc rId="7703" sId="1" odxf="1" dxf="1">
    <nc r="E713">
      <f>E714</f>
    </nc>
    <odxf>
      <border outline="0">
        <left/>
      </border>
    </odxf>
    <ndxf>
      <border outline="0">
        <left style="thin">
          <color indexed="64"/>
        </left>
      </border>
    </ndxf>
  </rcc>
  <rcc rId="7704" sId="1" odxf="1" dxf="1">
    <nc r="F713">
      <f>F714</f>
    </nc>
    <odxf>
      <border outline="0">
        <left/>
      </border>
    </odxf>
    <ndxf>
      <border outline="0">
        <left style="thin">
          <color indexed="64"/>
        </left>
      </border>
    </ndxf>
  </rcc>
  <rcc rId="7705" sId="1">
    <nc r="D712">
      <f>D713</f>
    </nc>
  </rcc>
  <rcc rId="7706" sId="1" odxf="1" dxf="1">
    <nc r="E712">
      <f>E713</f>
    </nc>
    <odxf>
      <border outline="0">
        <left/>
      </border>
    </odxf>
    <ndxf>
      <border outline="0">
        <left style="thin">
          <color indexed="64"/>
        </left>
      </border>
    </ndxf>
  </rcc>
  <rcc rId="7707" sId="1" odxf="1" dxf="1">
    <nc r="F712">
      <f>F713</f>
    </nc>
    <odxf>
      <border outline="0">
        <left/>
      </border>
    </odxf>
    <ndxf>
      <border outline="0">
        <left style="thin">
          <color indexed="64"/>
        </left>
      </border>
    </ndxf>
  </rcc>
  <rcc rId="7708" sId="1" odxf="1" dxf="1" numFmtId="34">
    <oc r="D711">
      <v>0</v>
    </oc>
    <nc r="D711">
      <f>D712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709" sId="1" odxf="1" dxf="1" numFmtId="34">
    <oc r="E711">
      <v>0</v>
    </oc>
    <nc r="E711">
      <f>E712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710" sId="1" odxf="1" dxf="1" numFmtId="34">
    <oc r="F711">
      <v>0</v>
    </oc>
    <nc r="F711">
      <f>F712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711" sId="1" numFmtId="34">
    <nc r="D714">
      <v>8000000</v>
    </nc>
  </rcc>
  <rcv guid="{D9B90A86-BE39-4FED-8226-084809D277F3}" action="delete"/>
  <rdn rId="0" localSheetId="1" customView="1" name="Z_D9B90A86_BE39_4FED_8226_084809D277F3_.wvu.PrintArea" hidden="1" oldHidden="1">
    <formula>'программы '!$A$1:$F$719</formula>
    <oldFormula>'программы '!$A$1:$F$719</oldFormula>
  </rdn>
  <rdn rId="0" localSheetId="1" customView="1" name="Z_D9B90A86_BE39_4FED_8226_084809D277F3_.wvu.FilterData" hidden="1" oldHidden="1">
    <formula>'программы '!$C$1:$C$725</formula>
    <oldFormula>'программы '!$C$1:$C$725</oldFormula>
  </rdn>
  <rcv guid="{D9B90A86-BE39-4FED-8226-084809D277F3}" action="add"/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18:XFD719">
    <dxf>
      <fill>
        <patternFill>
          <bgColor theme="0"/>
        </patternFill>
      </fill>
    </dxf>
  </rfmt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9B90A86-BE39-4FED-8226-084809D277F3}" action="delete"/>
  <rdn rId="0" localSheetId="1" customView="1" name="Z_D9B90A86_BE39_4FED_8226_084809D277F3_.wvu.PrintArea" hidden="1" oldHidden="1">
    <formula>'программы '!$A$1:$F$719</formula>
    <oldFormula>'программы '!$A$1:$F$719</oldFormula>
  </rdn>
  <rdn rId="0" localSheetId="1" customView="1" name="Z_D9B90A86_BE39_4FED_8226_084809D277F3_.wvu.Rows" hidden="1" oldHidden="1">
    <formula>'программы '!$716:$716</formula>
  </rdn>
  <rdn rId="0" localSheetId="1" customView="1" name="Z_D9B90A86_BE39_4FED_8226_084809D277F3_.wvu.FilterData" hidden="1" oldHidden="1">
    <formula>'программы '!$C$1:$C$725</formula>
    <oldFormula>'программы '!$C$1:$C$725</oldFormula>
  </rdn>
  <rcv guid="{D9B90A86-BE39-4FED-8226-084809D277F3}" action="add"/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7" sId="1" ref="A570:XFD570" action="insertRow">
    <undo index="0" exp="area" ref3D="1" dr="$A$716:$XFD$716" dn="Z_D9B90A86_BE39_4FED_8226_084809D277F3_.wvu.Rows" sId="1"/>
  </rrc>
  <rrc rId="7718" sId="1" ref="A570:XFD570" action="insertRow">
    <undo index="0" exp="area" ref3D="1" dr="$A$717:$XFD$717" dn="Z_D9B90A86_BE39_4FED_8226_084809D277F3_.wvu.Rows" sId="1"/>
  </rrc>
  <rrc rId="7719" sId="1" ref="A570:XFD570" action="insertRow">
    <undo index="0" exp="area" ref3D="1" dr="$A$718:$XFD$718" dn="Z_D9B90A86_BE39_4FED_8226_084809D277F3_.wvu.Rows" sId="1"/>
  </rrc>
  <rrc rId="7720" sId="1" ref="A570:XFD570" action="insertRow">
    <undo index="0" exp="area" ref3D="1" dr="$A$719:$XFD$719" dn="Z_D9B90A86_BE39_4FED_8226_084809D277F3_.wvu.Rows" sId="1"/>
  </rrc>
  <rcc rId="7721" sId="1">
    <nc r="C573">
      <v>612</v>
    </nc>
  </rcc>
  <rfmt sheetId="1" sqref="A570:C573" start="0" length="2147483647">
    <dxf>
      <font>
        <i val="0"/>
      </font>
    </dxf>
  </rfmt>
  <rfmt sheetId="1" sqref="D570:F573" start="0" length="2147483647">
    <dxf>
      <font>
        <i val="0"/>
      </font>
    </dxf>
  </rfmt>
  <rfmt sheetId="1" sqref="D570:F573" start="0" length="2147483647">
    <dxf>
      <font>
        <b val="0"/>
      </font>
    </dxf>
  </rfmt>
  <rcc rId="7722" sId="1">
    <nc r="C572">
      <v>610</v>
    </nc>
  </rcc>
  <rcc rId="7723" sId="1">
    <nc r="C571">
      <v>600</v>
    </nc>
  </rcc>
  <rcc rId="7724" sId="1">
    <nc r="B570" t="inlineStr">
      <is>
        <t>55 0 00 71400</t>
      </is>
    </nc>
  </rcc>
  <rfmt sheetId="1" sqref="A570:F570" start="0" length="2147483647">
    <dxf>
      <font>
        <b val="0"/>
      </font>
    </dxf>
  </rfmt>
  <rcc rId="7725" sId="1">
    <nc r="B571" t="inlineStr">
      <is>
        <t>55 0 00 71400</t>
      </is>
    </nc>
  </rcc>
  <rfmt sheetId="1" sqref="A571:F573" start="0" length="2147483647">
    <dxf>
      <font>
        <b val="0"/>
      </font>
    </dxf>
  </rfmt>
  <rcc rId="7726" sId="1">
    <nc r="B572" t="inlineStr">
      <is>
        <t>55 0 00 71400</t>
      </is>
    </nc>
  </rcc>
  <rcc rId="7727" sId="1">
    <nc r="B573" t="inlineStr">
      <is>
        <t>55 0 00 71400</t>
      </is>
    </nc>
  </rcc>
  <rcc rId="7728" sId="1">
    <nc r="D572">
      <f>D573</f>
    </nc>
  </rcc>
  <rcc rId="7729" sId="1">
    <nc r="E572">
      <f>E573</f>
    </nc>
  </rcc>
  <rcc rId="7730" sId="1">
    <nc r="F572">
      <f>F573</f>
    </nc>
  </rcc>
  <rcc rId="7731" sId="1">
    <nc r="D570">
      <f>D571</f>
    </nc>
  </rcc>
  <rcc rId="7732" sId="1">
    <nc r="E570">
      <f>E571</f>
    </nc>
  </rcc>
  <rcc rId="7733" sId="1">
    <nc r="F570">
      <f>F571</f>
    </nc>
  </rcc>
  <rcc rId="7734" sId="1">
    <nc r="D571">
      <f>D572</f>
    </nc>
  </rcc>
  <rcc rId="7735" sId="1">
    <nc r="E571">
      <f>E572</f>
    </nc>
  </rcc>
  <rcc rId="7736" sId="1">
    <nc r="F571">
      <f>F572</f>
    </nc>
  </rcc>
  <rcc rId="7737" sId="1">
    <nc r="A570" t="inlineStr">
      <is>
        <t>Резервный фонд Правительства Архангельской области</t>
      </is>
    </nc>
  </rcc>
  <rcc rId="7738" sId="1">
    <nc r="A573" t="inlineStr">
      <is>
        <t>Субсидии бюджетным учреждениям на иные цели</t>
      </is>
    </nc>
  </rcc>
  <rcc rId="7739" sId="1">
    <nc r="A572" t="inlineStr">
      <is>
        <t>Субсидии бюджетным учреждениям</t>
      </is>
    </nc>
  </rcc>
  <rcc rId="7740" sId="1">
    <nc r="A571" t="inlineStr">
      <is>
        <t>Предоставление субсидий бюджетным, автономным учреждениям и иным некоммерческим организациям</t>
      </is>
    </nc>
  </rcc>
  <rcc rId="7741" sId="1" numFmtId="34">
    <nc r="D573">
      <v>596241.67000000004</v>
    </nc>
  </rcc>
  <rcc rId="7742" sId="1">
    <oc r="D569">
      <f>D574</f>
    </oc>
    <nc r="D569">
      <f>D574+D570</f>
    </nc>
  </rcc>
  <rcc rId="7743" sId="1">
    <oc r="E569">
      <f>SUM(E574)</f>
    </oc>
    <nc r="E569">
      <f>E574+E570</f>
    </nc>
  </rcc>
  <rcc rId="7744" sId="1">
    <oc r="F569">
      <f>SUM(F574)</f>
    </oc>
    <nc r="F569">
      <f>F574+F570</f>
    </nc>
  </rcc>
  <rcv guid="{D9B90A86-BE39-4FED-8226-084809D277F3}" action="delete"/>
  <rdn rId="0" localSheetId="1" customView="1" name="Z_D9B90A86_BE39_4FED_8226_084809D277F3_.wvu.PrintArea" hidden="1" oldHidden="1">
    <formula>'программы '!$A$1:$F$723</formula>
    <oldFormula>'программы '!$A$1:$F$723</oldFormula>
  </rdn>
  <rdn rId="0" localSheetId="1" customView="1" name="Z_D9B90A86_BE39_4FED_8226_084809D277F3_.wvu.Rows" hidden="1" oldHidden="1">
    <formula>'программы '!$720:$720</formula>
    <oldFormula>'программы '!$720:$720</oldFormula>
  </rdn>
  <rdn rId="0" localSheetId="1" customView="1" name="Z_D9B90A86_BE39_4FED_8226_084809D277F3_.wvu.FilterData" hidden="1" oldHidden="1">
    <formula>'программы '!$C$1:$C$729</formula>
    <oldFormula>'программы '!$C$1:$C$729</oldFormula>
  </rdn>
  <rcv guid="{D9B90A86-BE39-4FED-8226-084809D277F3}" action="add"/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48" sId="1" numFmtId="34">
    <oc r="D53">
      <v>196423183</v>
    </oc>
    <nc r="D53">
      <f>196423183+56097</f>
    </nc>
  </rcc>
  <rcc rId="7749" sId="1" numFmtId="34">
    <oc r="D79">
      <v>478701142</v>
    </oc>
    <nc r="D79">
      <f>478701142+188016</f>
    </nc>
  </rcc>
  <rcc rId="7750" sId="1" numFmtId="34">
    <oc r="D159">
      <v>31273717</v>
    </oc>
    <nc r="D159">
      <f>31273717+282717</f>
    </nc>
  </rcc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51" sId="1" numFmtId="34">
    <oc r="D381">
      <v>756000</v>
    </oc>
    <nc r="D381">
      <f>756000+1144809.7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4" sId="1" numFmtId="30">
    <oc r="C507">
      <v>414</v>
    </oc>
    <nc r="C507" t="inlineStr">
      <is>
        <t>412</t>
      </is>
    </nc>
  </rcc>
  <rfmt sheetId="1" sqref="C507">
    <dxf>
      <fill>
        <patternFill patternType="solid">
          <bgColor theme="6" tint="0.59999389629810485"/>
        </patternFill>
      </fill>
    </dxf>
  </rfmt>
  <rcc rId="3235" sId="1" numFmtId="30">
    <oc r="C498">
      <v>414</v>
    </oc>
    <nc r="C498" t="inlineStr">
      <is>
        <t>412</t>
      </is>
    </nc>
  </rcc>
  <rfmt sheetId="1" sqref="C498">
    <dxf>
      <fill>
        <patternFill patternType="solid">
          <bgColor theme="6" tint="0.59999389629810485"/>
        </patternFill>
      </fill>
    </dxf>
  </rfmt>
  <rfmt sheetId="1" sqref="C513">
    <dxf>
      <fill>
        <patternFill patternType="solid"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'!$A$1:$F$807</formula>
    <oldFormula>'программы '!$A$1:$F$807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'!$A$1:$A$820</formula>
    <oldFormula>'программы '!$A$1:$A$820</oldFormula>
  </rdn>
  <rcv guid="{D9B90A86-BE39-4FED-8226-084809D277F3}" action="add"/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52" sId="1">
    <oc r="D664">
      <f>2963993.86-1863.89</f>
    </oc>
    <nc r="D664">
      <f>2963993.86-1863.89+6852672.81</f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53" sId="1" ref="A299:XFD299" action="insertRow">
    <undo index="0" exp="area" ref3D="1" dr="$A$720:$XFD$720" dn="Z_D9B90A86_BE39_4FED_8226_084809D277F3_.wvu.Rows" sId="1"/>
  </rrc>
  <rrc rId="7754" sId="1" ref="A299:XFD299" action="insertRow">
    <undo index="0" exp="area" ref3D="1" dr="$A$721:$XFD$721" dn="Z_D9B90A86_BE39_4FED_8226_084809D277F3_.wvu.Rows" sId="1"/>
  </rrc>
  <rrc rId="7755" sId="1" ref="A299:XFD299" action="insertRow">
    <undo index="0" exp="area" ref3D="1" dr="$A$722:$XFD$722" dn="Z_D9B90A86_BE39_4FED_8226_084809D277F3_.wvu.Rows" sId="1"/>
  </rrc>
  <rrc rId="7756" sId="1" ref="A300:XFD300" action="insertRow">
    <undo index="0" exp="area" ref3D="1" dr="$A$723:$XFD$723" dn="Z_D9B90A86_BE39_4FED_8226_084809D277F3_.wvu.Rows" sId="1"/>
  </rrc>
  <rcc rId="7757" sId="1">
    <nc r="C302" t="inlineStr">
      <is>
        <t>243</t>
      </is>
    </nc>
  </rcc>
  <rcc rId="7758" sId="1">
    <nc r="C301" t="inlineStr">
      <is>
        <t>240</t>
      </is>
    </nc>
  </rcc>
  <rcc rId="7759" sId="1">
    <nc r="C300" t="inlineStr">
      <is>
        <t>200</t>
      </is>
    </nc>
  </rcc>
  <rcc rId="7760" sId="1">
    <nc r="D301">
      <f>D302</f>
    </nc>
  </rcc>
  <rcc rId="7761" sId="1">
    <nc r="E301">
      <f>E302</f>
    </nc>
  </rcc>
  <rcc rId="7762" sId="1">
    <nc r="F301">
      <f>F302</f>
    </nc>
  </rcc>
  <rcc rId="7763" sId="1">
    <nc r="D299">
      <f>D300</f>
    </nc>
  </rcc>
  <rcc rId="7764" sId="1">
    <nc r="E299">
      <f>E300</f>
    </nc>
  </rcc>
  <rcc rId="7765" sId="1">
    <nc r="F299">
      <f>F300</f>
    </nc>
  </rcc>
  <rcc rId="7766" sId="1">
    <nc r="D300">
      <f>D301</f>
    </nc>
  </rcc>
  <rcc rId="7767" sId="1">
    <nc r="E300">
      <f>E301</f>
    </nc>
  </rcc>
  <rcc rId="7768" sId="1">
    <nc r="F300">
      <f>F301</f>
    </nc>
  </rcc>
  <rcc rId="7769" sId="1">
    <oc r="D285">
      <f>D286+D291+D295</f>
    </oc>
    <nc r="D285">
      <f>D286+D291+D295+D299</f>
    </nc>
  </rcc>
  <rcc rId="7770" sId="1">
    <oc r="E285">
      <f>E286+E291+E295</f>
    </oc>
    <nc r="E285">
      <f>E286+E291+E295+E299</f>
    </nc>
  </rcc>
  <rcc rId="7771" sId="1">
    <oc r="F285">
      <f>F286+F291+F295</f>
    </oc>
    <nc r="F285">
      <f>F286+F291+F295+F299</f>
    </nc>
  </rcc>
  <rcc rId="7772" sId="1" odxf="1" dxf="1">
    <nc r="A302" t="inlineStr">
      <is>
        <t>Закупка товаров, работ, услуг в целях капитального
ремонта государственного (муниципального) имущества</t>
      </is>
    </nc>
    <odxf>
      <alignment wrapText="0" readingOrder="0"/>
    </odxf>
    <ndxf>
      <alignment wrapText="1" readingOrder="0"/>
    </ndxf>
  </rcc>
  <rcc rId="7773" sId="1">
    <nc r="A301" t="inlineStr">
      <is>
        <t>Иные закупки товаров,работ и услуг для обеспечения государственных (муниципальных) нужд</t>
      </is>
    </nc>
  </rcc>
  <rcc rId="7774" sId="1">
    <nc r="A300" t="inlineStr">
      <is>
        <t>Закупка товаров, работ и услуг для обеспечения государственных (муниципальных) нужд</t>
      </is>
    </nc>
  </rcc>
  <rcc rId="7775" sId="1">
    <nc r="B302" t="inlineStr">
      <is>
        <t>08 0 00 S9170</t>
      </is>
    </nc>
  </rcc>
  <rcc rId="7776" sId="1">
    <nc r="B301" t="inlineStr">
      <is>
        <t>08 0 00 S9170</t>
      </is>
    </nc>
  </rcc>
  <rcc rId="7777" sId="1">
    <nc r="B300" t="inlineStr">
      <is>
        <t>08 0 00 S9170</t>
      </is>
    </nc>
  </rcc>
  <rcc rId="7778" sId="1">
    <nc r="B299" t="inlineStr">
      <is>
        <t>08 0 00 S9170</t>
      </is>
    </nc>
  </rcc>
  <rcc rId="7779" sId="1">
    <nc r="A299" t="inlineStr">
      <is>
        <t>Мероприятия в сфере общественного пассажирского транспорта и транспортной инфраструктуры (содержание и ремонт железнодорожного пути технологической узкоколейной железной дороги "Липаково-Лужма-Сеза")</t>
      </is>
    </nc>
  </rcc>
  <rcc rId="7780" sId="1" numFmtId="34">
    <nc r="D302">
      <v>3202000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81" sId="1">
    <oc r="D79">
      <f>478701142+188016</f>
    </oc>
    <nc r="D79">
      <f>478701142+188016+5651150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82" sId="1">
    <oc r="D486">
      <f>2483901.28</f>
    </oc>
    <nc r="D486">
      <f>2483901.28+51574618.72</f>
    </nc>
  </rcc>
  <rcc rId="7783" sId="1">
    <oc r="E486">
      <f>2289959.62</f>
    </oc>
    <nc r="E486">
      <f>2289959.62+57190130.38</f>
    </nc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84" sId="1">
    <oc r="A108" t="inlineStr">
      <is>
        <t>Обеспечение условий для развития кадрового потенциала муниципальных образовательных организациях Архангельской области</t>
      </is>
    </oc>
    <nc r="A108" t="inlineStr">
      <is>
        <t>Обеспечение условий для развития кадрового потенциала муниципальных образовательных организаций в Архангельской области</t>
      </is>
    </nc>
  </rcc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85" sId="1">
    <oc r="D583">
      <f>5491817.59-40000+25802.14+1973398.97</f>
    </oc>
    <nc r="D583">
      <f>5491817.59-40000+25802.14+1973398.97-428620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86" sId="1">
    <oc r="D583">
      <f>5491817.59-40000+25802.14+1973398.97-428620</f>
    </oc>
    <nc r="D583">
      <f>5491817.59-40000+25802.14+1973398.97-448620</f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87" sId="1">
    <oc r="D583">
      <f>5491817.59-40000+25802.14+1973398.97-448620</f>
    </oc>
    <nc r="D583">
      <f>5491817.59-40000+25802.14+1973398.97-408620</f>
    </nc>
  </rcc>
  <rrc rId="7788" sId="1" ref="A582:XFD582" action="insertRow">
    <undo index="0" exp="area" ref3D="1" dr="$A$724:$XFD$724" dn="Z_D9B90A86_BE39_4FED_8226_084809D277F3_.wvu.Rows" sId="1"/>
  </rrc>
  <rcc rId="7789" sId="1">
    <nc r="B582" t="inlineStr">
      <is>
        <t>55 0 00 81400</t>
      </is>
    </nc>
  </rcc>
  <rcc rId="7790" sId="1">
    <nc r="C582">
      <v>244</v>
    </nc>
  </rcc>
  <rcc rId="7791" sId="1">
    <oc r="D580">
      <f>D581</f>
    </oc>
    <nc r="D580">
      <f>D581+D582</f>
    </nc>
  </rcc>
  <rcc rId="7792" sId="1">
    <oc r="E580">
      <f>E581</f>
    </oc>
    <nc r="E580">
      <f>E581+E582</f>
    </nc>
  </rcc>
  <rcc rId="7793" sId="1">
    <oc r="F580">
      <f>F581</f>
    </oc>
    <nc r="F580">
      <f>F581+F582</f>
    </nc>
  </rcc>
  <rcc rId="7794" sId="1">
    <nc r="A582" t="inlineStr">
      <is>
        <t xml:space="preserve">Прочая закупка товаров, работ и услуг </t>
      </is>
    </nc>
  </rcc>
  <rcc rId="7795" sId="1" numFmtId="34">
    <nc r="D582">
      <v>228620</v>
    </nc>
  </rcc>
  <rcc rId="7796" sId="1" numFmtId="34">
    <nc r="E582">
      <v>0</v>
    </nc>
  </rcc>
  <rcc rId="7797" sId="1" numFmtId="34">
    <nc r="F582">
      <v>0</v>
    </nc>
  </rcc>
  <rcc rId="7798" sId="1" numFmtId="34">
    <nc r="F581">
      <v>0</v>
    </nc>
  </rcc>
  <rcc rId="7799" sId="1" numFmtId="34">
    <nc r="E581">
      <v>0</v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00" sId="1" ref="A583:XFD583" action="insertRow">
    <undo index="0" exp="area" ref3D="1" dr="$A$725:$XFD$725" dn="Z_D9B90A86_BE39_4FED_8226_084809D277F3_.wvu.Rows" sId="1"/>
  </rrc>
  <rrc rId="7801" sId="1" ref="A583:XFD583" action="insertRow">
    <undo index="0" exp="area" ref3D="1" dr="$A$726:$XFD$726" dn="Z_D9B90A86_BE39_4FED_8226_084809D277F3_.wvu.Rows" sId="1"/>
  </rrc>
  <rcc rId="7802" sId="1">
    <nc r="C584">
      <v>321</v>
    </nc>
  </rcc>
  <rcc rId="7803" sId="1">
    <nc r="C583">
      <v>320</v>
    </nc>
  </rcc>
  <rrc rId="7804" sId="1" ref="A583:XFD583" action="insertRow">
    <undo index="0" exp="area" ref3D="1" dr="$A$727:$XFD$727" dn="Z_D9B90A86_BE39_4FED_8226_084809D277F3_.wvu.Rows" sId="1"/>
  </rrc>
  <rcc rId="7805" sId="1">
    <nc r="C583">
      <v>300</v>
    </nc>
  </rcc>
  <rcc rId="7806" sId="1">
    <nc r="B583" t="inlineStr">
      <is>
        <t>55 0 00 81400</t>
      </is>
    </nc>
  </rcc>
  <rcc rId="7807" sId="1">
    <nc r="B584" t="inlineStr">
      <is>
        <t>55 0 00 81400</t>
      </is>
    </nc>
  </rcc>
  <rcc rId="7808" sId="1">
    <nc r="B585" t="inlineStr">
      <is>
        <t>55 0 00 81400</t>
      </is>
    </nc>
  </rcc>
  <rcc rId="7809" sId="1">
    <nc r="A585" t="inlineStr">
      <is>
        <t>Пособия, компенсации и иные социальные выплаты гражданам, кроме публичных нормативных обязательств</t>
      </is>
    </nc>
  </rcc>
  <rcc rId="7810" sId="1">
    <nc r="A584" t="inlineStr">
      <is>
        <t>Социальные выплаты гражданам, кроме публичных нормативных социальных выплат</t>
      </is>
    </nc>
  </rcc>
  <rcc rId="7811" sId="1">
    <nc r="A583" t="inlineStr">
      <is>
        <t>Социальное обеспечение и иные выплаты населению</t>
      </is>
    </nc>
  </rcc>
  <rcc rId="7812" sId="1">
    <nc r="D584">
      <f>D585</f>
    </nc>
  </rcc>
  <rcc rId="7813" sId="1">
    <nc r="E584">
      <f>E585</f>
    </nc>
  </rcc>
  <rcc rId="7814" sId="1">
    <nc r="F584">
      <f>F585</f>
    </nc>
  </rcc>
  <rcc rId="7815" sId="1">
    <nc r="D583">
      <f>D584</f>
    </nc>
  </rcc>
  <rcc rId="7816" sId="1">
    <nc r="E583">
      <f>E584</f>
    </nc>
  </rcc>
  <rcc rId="7817" sId="1">
    <nc r="F583">
      <f>F584</f>
    </nc>
  </rcc>
  <rcc rId="7818" sId="1">
    <oc r="D578">
      <f>D586+D579</f>
    </oc>
    <nc r="D578">
      <f>D586+D579+D583</f>
    </nc>
  </rcc>
  <rcc rId="7819" sId="1">
    <oc r="E578">
      <f>E586+E579</f>
    </oc>
    <nc r="E578">
      <f>E586+E579+E583</f>
    </nc>
  </rcc>
  <rcc rId="7820" sId="1">
    <oc r="F578">
      <f>F586+F579</f>
    </oc>
    <nc r="F578">
      <f>F586+F579+F583</f>
    </nc>
  </rcc>
  <rcc rId="7821" sId="1" numFmtId="34">
    <nc r="D585">
      <v>180000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2" sId="1">
    <oc r="D191">
      <f>D205+D209+D201+D192</f>
    </oc>
    <nc r="D191">
      <f>D205+D209+D201+D192+D197</f>
    </nc>
  </rcc>
  <rcc rId="7823" sId="1">
    <oc r="E191">
      <f>E205+E209+E201+E192</f>
    </oc>
    <nc r="E191">
      <f>E205+E209+E201+E192+E197</f>
    </nc>
  </rcc>
  <rcc rId="7824" sId="1">
    <oc r="F191">
      <f>F205+F209+F201+F192</f>
    </oc>
    <nc r="F191">
      <f>F205+F209+F201+F192+F197</f>
    </nc>
  </rcc>
  <rcc rId="7825" sId="1">
    <oc r="D642">
      <f>D643+D650+D654</f>
    </oc>
    <nc r="D642">
      <f>D643+D650+D654+D646</f>
    </nc>
  </rcc>
  <rcc rId="7826" sId="1">
    <nc r="B726" t="inlineStr">
      <is>
        <t>67 0 00 Э8890</t>
      </is>
    </nc>
  </rcc>
  <rcc rId="7827" sId="1">
    <nc r="B725" t="inlineStr">
      <is>
        <t>67 0 00 Э8890</t>
      </is>
    </nc>
  </rcc>
  <rcc rId="7828" sId="1">
    <nc r="B724" t="inlineStr">
      <is>
        <t>67 0 00 Э8890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'!$A$1:$F$731</formula>
    <oldFormula>'программы '!$A$1:$F$731</oldFormula>
  </rdn>
  <rdn rId="0" localSheetId="1" customView="1" name="Z_D9B90A86_BE39_4FED_8226_084809D277F3_.wvu.Rows" hidden="1" oldHidden="1">
    <formula>'программы '!$728:$728</formula>
    <oldFormula>'программы '!$728:$728</oldFormula>
  </rdn>
  <rdn rId="0" localSheetId="1" customView="1" name="Z_D9B90A86_BE39_4FED_8226_084809D277F3_.wvu.FilterData" hidden="1" oldHidden="1">
    <formula>'программы '!$C$1:$C$737</formula>
    <oldFormula>'программы '!$C$1:$C$737</oldFormula>
  </rdn>
  <rcv guid="{D9B90A86-BE39-4FED-8226-084809D277F3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A513" start="0" length="0">
    <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xfDxf="1" sqref="A513" start="0" length="0">
    <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3239" sId="1" xfDxf="1" dxf="1">
    <oc r="A507" t="inlineStr">
      <is>
        <t>Бюджетные инвестиции в объекты капитального строительства государственной (муниципальной) собственности</t>
      </is>
    </oc>
    <nc r="A507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40" sId="1" xfDxf="1" dxf="1">
    <oc r="A498" t="inlineStr">
      <is>
        <t>Бюджетные инвестиции в объекты капитального строительства государственной (муниципальной) собственности</t>
      </is>
    </oc>
    <nc r="A498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rc rId="3241" sId="1" ref="A723:XFD723" action="insertRow"/>
  <rrc rId="3242" sId="1" ref="A723:XFD723" action="insertRow"/>
  <rrc rId="3243" sId="1" ref="A723:XFD723" action="insertRow"/>
  <rrc rId="3244" sId="1" ref="A723:XFD723" action="insertRow"/>
  <rrc rId="3245" sId="1" ref="A723:XFD723" action="insertRow"/>
  <rrc rId="3246" sId="1" ref="A724:XFD724" action="insertRow"/>
  <rrc rId="3247" sId="1" ref="A723:XFD723" action="insertRow"/>
  <rrc rId="3248" sId="1" ref="A724:XFD724" action="insertRow"/>
  <rcc rId="3249" sId="1">
    <nc r="C730" t="inlineStr">
      <is>
        <t>811</t>
      </is>
    </nc>
  </rcc>
  <rcc rId="3250" sId="1">
    <nc r="C729" t="inlineStr">
      <is>
        <t>810</t>
      </is>
    </nc>
  </rcc>
  <rcc rId="3251" sId="1">
    <nc r="C728" t="inlineStr">
      <is>
        <t>800</t>
      </is>
    </nc>
  </rcc>
  <rcc rId="3252" sId="1">
    <nc r="C726" t="inlineStr">
      <is>
        <t>811</t>
      </is>
    </nc>
  </rcc>
  <rcc rId="3253" sId="1">
    <nc r="C725" t="inlineStr">
      <is>
        <t>810</t>
      </is>
    </nc>
  </rcc>
  <rcc rId="3254" sId="1">
    <nc r="C724" t="inlineStr">
      <is>
        <t>800</t>
      </is>
    </nc>
  </rcc>
  <rcc rId="3255" sId="1" xfDxf="1" dxf="1">
    <nc r="B730" t="inlineStr">
      <is>
        <t>59 0 00 83693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56" sId="1" xfDxf="1" dxf="1">
    <nc r="B729" t="inlineStr">
      <is>
        <t>59 0 00 83693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57" sId="1" xfDxf="1" dxf="1">
    <nc r="B728" t="inlineStr">
      <is>
        <t>59 0 00 83693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58" sId="1" xfDxf="1" dxf="1">
    <nc r="B727" t="inlineStr">
      <is>
        <t>59 0 00 83693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59" sId="1" xfDxf="1" dxf="1">
    <nc r="B726" t="inlineStr">
      <is>
        <t>59 0 00 83692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60" sId="1" xfDxf="1" dxf="1">
    <nc r="B725" t="inlineStr">
      <is>
        <t>59 0 00 83692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61" sId="1" xfDxf="1" dxf="1">
    <nc r="B724" t="inlineStr">
      <is>
        <t>59 0 00 83692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62" sId="1" xfDxf="1" dxf="1">
    <nc r="B723" t="inlineStr">
      <is>
        <t>59 0 00 83692</t>
      </is>
    </nc>
    <ndxf>
      <font>
        <name val="Times New Roman"/>
        <scheme val="none"/>
      </font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263" sId="1" xfDxf="1" dxf="1">
    <nc r="A723" t="inlineStr">
      <is>
        <t>Возмещение убытков ООО "Трест Техносервис", связанных с оказанием банных услуг на территории пос.Обозерский по тарифам, не обеспечивающим возмещение издержек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4" sId="1" xfDxf="1" dxf="1">
    <nc r="A724" t="inlineStr">
      <is>
        <t xml:space="preserve">Иные бюджетные ассигнования 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5" sId="1" xfDxf="1" dxf="1">
    <nc r="A725" t="inlineStr">
      <is>
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6" sId="1" xfDxf="1" dxf="1">
    <nc r="A726" t="inlineStr">
      <is>
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7" sId="1" xfDxf="1" dxf="1">
    <nc r="A730" t="inlineStr">
      <is>
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8" sId="1" xfDxf="1" dxf="1">
    <nc r="A729" t="inlineStr">
      <is>
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69" sId="1" xfDxf="1" dxf="1">
    <nc r="A728" t="inlineStr">
      <is>
        <t xml:space="preserve">Иные бюджетные ассигнования 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70" sId="1" xfDxf="1" dxf="1">
    <nc r="A727" t="inlineStr">
      <is>
        <t>Возмещение убытков МУП "Плесецк-Ресурс", связанных с оказанием банных услуг на территории пос.Плесецк по тарифам, не обеспечивающим возмещение издержек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271" sId="1">
    <nc r="D729">
      <f>D730</f>
    </nc>
  </rcc>
  <rcc rId="3272" sId="1">
    <nc r="E729">
      <f>E730</f>
    </nc>
  </rcc>
  <rcc rId="3273" sId="1">
    <nc r="F729">
      <f>F730</f>
    </nc>
  </rcc>
  <rcc rId="3274" sId="1">
    <nc r="D728">
      <f>D729</f>
    </nc>
  </rcc>
  <rcc rId="3275" sId="1">
    <nc r="E728">
      <f>E729</f>
    </nc>
  </rcc>
  <rcc rId="3276" sId="1">
    <nc r="F728">
      <f>F729</f>
    </nc>
  </rcc>
  <rcc rId="3277" sId="1">
    <nc r="D727">
      <f>D728</f>
    </nc>
  </rcc>
  <rcc rId="3278" sId="1">
    <nc r="E727">
      <f>E728</f>
    </nc>
  </rcc>
  <rcc rId="3279" sId="1">
    <nc r="F727">
      <f>F728</f>
    </nc>
  </rcc>
  <rcc rId="3280" sId="1">
    <nc r="D725">
      <f>D726</f>
    </nc>
  </rcc>
  <rcc rId="3281" sId="1">
    <nc r="E725">
      <f>E726</f>
    </nc>
  </rcc>
  <rcc rId="3282" sId="1">
    <nc r="F725">
      <f>F726</f>
    </nc>
  </rcc>
  <rcc rId="3283" sId="1">
    <nc r="D724">
      <f>D725</f>
    </nc>
  </rcc>
  <rcc rId="3284" sId="1">
    <nc r="E724">
      <f>E725</f>
    </nc>
  </rcc>
  <rcc rId="3285" sId="1">
    <nc r="F724">
      <f>F725</f>
    </nc>
  </rcc>
  <rcc rId="3286" sId="1">
    <nc r="D723">
      <f>D724</f>
    </nc>
  </rcc>
  <rcc rId="3287" sId="1">
    <nc r="E723">
      <f>E724</f>
    </nc>
  </rcc>
  <rcc rId="3288" sId="1">
    <nc r="F723">
      <f>F724</f>
    </nc>
  </rcc>
  <rcc rId="3289" sId="1">
    <oc r="D716">
      <f>D721+D717</f>
    </oc>
    <nc r="D716">
      <f>D721+D717+D723+D727</f>
    </nc>
  </rcc>
  <rcc rId="3290" sId="1">
    <oc r="E716">
      <f>E721+E717</f>
    </oc>
    <nc r="E716">
      <f>E721+E717+E723+E727</f>
    </nc>
  </rcc>
  <rcc rId="3291" sId="1">
    <oc r="F716">
      <f>F721+F717</f>
    </oc>
    <nc r="F716">
      <f>F721+F717+F723+F727</f>
    </nc>
  </rcc>
  <rfmt sheetId="1" sqref="A723:XFD730">
    <dxf>
      <fill>
        <patternFill patternType="solid"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'!$A$1:$F$815</formula>
    <oldFormula>'программы '!$A$1:$F$815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'!$A$1:$A$828</formula>
    <oldFormula>'программы '!$A$1:$A$828</oldFormula>
  </rdn>
  <rcv guid="{D9B90A86-BE39-4FED-8226-084809D277F3}" action="add"/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32" sId="1">
    <oc r="D616">
      <f>D617+D622+D626+D633+D638+D642+D646+D650+D654</f>
    </oc>
    <nc r="D616">
      <f>D617+D622+D626+D633+D638+D642</f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33" sId="1" numFmtId="34">
    <oc r="D111">
      <v>117241.45</v>
    </oc>
    <nc r="D111">
      <f>117241.45+257471.42</f>
    </nc>
  </rcc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34" sId="1">
    <oc r="E616">
      <f>E617+E622+E633+E642+E638+E626+E646+E650+E654</f>
    </oc>
    <nc r="E616">
      <f>E617+E622+E626+E633+E638+E642</f>
    </nc>
  </rcc>
  <rcc rId="7835" sId="1">
    <oc r="F616">
      <f>F617+F622+F633+F642+F638+F626+F646+F650+F654</f>
    </oc>
    <nc r="F616">
      <f>F617+F622+F626+F633+F638+F642</f>
    </nc>
  </rcc>
  <rcv guid="{D9B90A86-BE39-4FED-8226-084809D277F3}" action="delete"/>
  <rdn rId="0" localSheetId="1" customView="1" name="Z_D9B90A86_BE39_4FED_8226_084809D277F3_.wvu.PrintArea" hidden="1" oldHidden="1">
    <formula>'программы '!$A$1:$F$731</formula>
    <oldFormula>'программы '!$A$1:$F$731</oldFormula>
  </rdn>
  <rdn rId="0" localSheetId="1" customView="1" name="Z_D9B90A86_BE39_4FED_8226_084809D277F3_.wvu.Rows" hidden="1" oldHidden="1">
    <formula>'программы '!$728:$728</formula>
    <oldFormula>'программы '!$728:$728</oldFormula>
  </rdn>
  <rdn rId="0" localSheetId="1" customView="1" name="Z_D9B90A86_BE39_4FED_8226_084809D277F3_.wvu.FilterData" hidden="1" oldHidden="1">
    <formula>'программы '!$C$1:$C$737</formula>
    <oldFormula>'программы '!$C$1:$C$737</oldFormula>
  </rdn>
  <rcv guid="{D9B90A86-BE39-4FED-8226-084809D277F3}" action="add"/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669" start="0" length="0">
    <dxf>
      <alignment wrapText="1" readingOrder="0"/>
    </dxf>
  </rfmt>
  <rcc rId="7839" sId="1">
    <oc r="A669" t="inlineStr">
      <is>
        <t>Обеспечение детей-сирот и детей, оставшихся без попечения родителей, жилыми помещениями</t>
      </is>
    </oc>
    <nc r="A669" t="inlineStr">
      <is>
    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'!$A$1:$F$731</formula>
    <oldFormula>'программы '!$A$1:$F$731</oldFormula>
  </rdn>
  <rdn rId="0" localSheetId="1" customView="1" name="Z_D9B90A86_BE39_4FED_8226_084809D277F3_.wvu.Rows" hidden="1" oldHidden="1">
    <formula>'программы '!$728:$728</formula>
    <oldFormula>'программы '!$728:$728</oldFormula>
  </rdn>
  <rdn rId="0" localSheetId="1" customView="1" name="Z_D9B90A86_BE39_4FED_8226_084809D277F3_.wvu.FilterData" hidden="1" oldHidden="1">
    <formula>'программы '!$C$1:$C$737</formula>
    <oldFormula>'программы '!$C$1:$C$737</oldFormula>
  </rdn>
  <rcv guid="{D9B90A86-BE39-4FED-8226-084809D277F3}" action="add"/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43" sId="1">
    <oc r="A299" t="inlineStr">
      <is>
        <t>Мероприятия в сфере общественного пассажирского транспорта и транспортной инфраструктуры (содержание и ремонт железнодорожного пути технологической узкоколейной железной дороги "Липаково-Лужма-Сеза")</t>
      </is>
    </oc>
    <nc r="A299" t="inlineStr">
      <is>
        <t>Мероприятия в сфере общественного пассажирского транспорта и транспортной инфраструктуры (содержание, ремонт, капитальный ремонт инфраструктуры технологической узкоколейной железной дороги "Липаково- Лужма- Сеза" Плесецкого муниципального округа Архангельской области, включая ремонт и капитальный ремонт подвижного состава)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'!$A$1:$F$731</formula>
    <oldFormula>'программы '!$A$1:$F$731</oldFormula>
  </rdn>
  <rdn rId="0" localSheetId="1" customView="1" name="Z_D9B90A86_BE39_4FED_8226_084809D277F3_.wvu.Rows" hidden="1" oldHidden="1">
    <formula>'программы '!$728:$728</formula>
    <oldFormula>'программы '!$728:$728</oldFormula>
  </rdn>
  <rdn rId="0" localSheetId="1" customView="1" name="Z_D9B90A86_BE39_4FED_8226_084809D277F3_.wvu.FilterData" hidden="1" oldHidden="1">
    <formula>'программы '!$C$1:$C$737</formula>
    <oldFormula>'программы '!$C$1:$C$737</oldFormula>
  </rdn>
  <rcv guid="{D9B90A86-BE39-4FED-8226-084809D277F3}" action="add"/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47" sId="1">
    <oc r="A116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    </is>
    </oc>
    <nc r="A116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'!$A$1:$F$731</formula>
    <oldFormula>'программы '!$A$1:$F$731</oldFormula>
  </rdn>
  <rdn rId="0" localSheetId="1" customView="1" name="Z_D9B90A86_BE39_4FED_8226_084809D277F3_.wvu.Rows" hidden="1" oldHidden="1">
    <formula>'программы '!$728:$728</formula>
    <oldFormula>'программы '!$728:$728</oldFormula>
  </rdn>
  <rdn rId="0" localSheetId="1" customView="1" name="Z_D9B90A86_BE39_4FED_8226_084809D277F3_.wvu.FilterData" hidden="1" oldHidden="1">
    <formula>'программы '!$C$1:$C$737</formula>
    <oldFormula>'программы '!$C$1:$C$737</oldFormula>
  </rdn>
  <rcv guid="{D9B90A86-BE39-4FED-8226-084809D277F3}" action="add"/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51" sId="1">
    <oc r="A134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    </is>
    </oc>
    <nc r="A134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'!$A$1:$F$731</formula>
    <oldFormula>'программы '!$A$1:$F$731</oldFormula>
  </rdn>
  <rdn rId="0" localSheetId="1" customView="1" name="Z_D9B90A86_BE39_4FED_8226_084809D277F3_.wvu.Rows" hidden="1" oldHidden="1">
    <formula>'программы '!$728:$728</formula>
    <oldFormula>'программы '!$728:$728</oldFormula>
  </rdn>
  <rdn rId="0" localSheetId="1" customView="1" name="Z_D9B90A86_BE39_4FED_8226_084809D277F3_.wvu.FilterData" hidden="1" oldHidden="1">
    <formula>'программы '!$C$1:$C$737</formula>
    <oldFormula>'программы '!$C$1:$C$737</oldFormula>
  </rdn>
  <rcv guid="{D9B90A86-BE39-4FED-8226-084809D277F3}" action="add"/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55" sId="1">
    <oc r="A205" t="inlineStr">
      <is>
        <t xml:space="preserve"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 </t>
      </is>
    </oc>
    <nc r="A205" t="inlineStr">
      <is>
    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'!$A$1:$F$731</formula>
    <oldFormula>'программы '!$A$1:$F$731</oldFormula>
  </rdn>
  <rdn rId="0" localSheetId="1" customView="1" name="Z_D9B90A86_BE39_4FED_8226_084809D277F3_.wvu.Rows" hidden="1" oldHidden="1">
    <formula>'программы '!$728:$728</formula>
    <oldFormula>'программы '!$728:$728</oldFormula>
  </rdn>
  <rdn rId="0" localSheetId="1" customView="1" name="Z_D9B90A86_BE39_4FED_8226_084809D277F3_.wvu.FilterData" hidden="1" oldHidden="1">
    <formula>'программы '!$C$1:$C$737</formula>
    <oldFormula>'программы '!$C$1:$C$737</oldFormula>
  </rdn>
  <rcv guid="{D9B90A86-BE39-4FED-8226-084809D277F3}" action="add"/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59" sId="1">
    <oc r="A673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    </is>
    </oc>
    <nc r="A673" t="inlineStr">
      <is>
        <t>Осуществление государственных полномочий по предоставлению жилых помещений специализированного жилищного фонда детям-сиротам и детям, оставшимся без попечения родителей, лицам из числа детей-сирот и детей, оставшихся без попечения родителей, за счет средств областного бюджета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'!$A$1:$F$731</formula>
    <oldFormula>'программы '!$A$1:$F$731</oldFormula>
  </rdn>
  <rdn rId="0" localSheetId="1" customView="1" name="Z_D9B90A86_BE39_4FED_8226_084809D277F3_.wvu.Rows" hidden="1" oldHidden="1">
    <formula>'программы '!$728:$728</formula>
    <oldFormula>'программы '!$728:$728</oldFormula>
  </rdn>
  <rdn rId="0" localSheetId="1" customView="1" name="Z_D9B90A86_BE39_4FED_8226_084809D277F3_.wvu.FilterData" hidden="1" oldHidden="1">
    <formula>'программы '!$C$1:$C$737</formula>
    <oldFormula>'программы '!$C$1:$C$737</oldFormula>
  </rdn>
  <rcv guid="{D9B90A86-BE39-4FED-8226-084809D277F3}" action="add"/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63" sId="1">
    <oc r="A658" t="inlineStr">
      <is>
        <t>Расходы на модернизацию (строительство) котельных на твердом биотопливе, источником финансового обеспечения которых является специальный казначейский кредит</t>
      </is>
    </oc>
    <nc r="A658" t="inlineStr">
      <is>
        <t>Модернизация (строительство) котельных на твердом биотопливе, источником финансового обеспечения которых является специальный казначейский кредит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44" sId="1" ref="A664:XFD664" action="insertRow"/>
  <rrc rId="2745" sId="1" ref="A664:XFD664" action="insertRow"/>
  <rrc rId="2746" sId="1" ref="A664:XFD664" action="insertRow"/>
  <rrc rId="2747" sId="1" ref="A664:XFD664" action="insertRow"/>
  <rcc rId="2748" sId="1">
    <nc r="A664" t="inlineStr">
      <is>
        <t>Софинансирование на противоаварийные мероприятия и ремонтно-восстановительные работы по проведению текущего ремонта жилищного фонда</t>
      </is>
    </nc>
  </rcc>
  <rcc rId="2749" sId="1">
    <nc r="A665" t="inlineStr">
      <is>
        <t>Закупка товаров, работ и услуг для обеспечения государственных (муниципальных) нужд</t>
      </is>
    </nc>
  </rcc>
  <rcc rId="2750" sId="1">
    <nc r="A666" t="inlineStr">
      <is>
        <t>Иные закупки товаров,работ и услуг для обеспечения государственных (муниципальных) нужд</t>
      </is>
    </nc>
  </rcc>
  <rcc rId="2751" sId="1">
    <nc r="A667" t="inlineStr">
      <is>
        <t xml:space="preserve">Прочая закупка товаров, работ и услуг </t>
      </is>
    </nc>
  </rcc>
  <rcc rId="2752" sId="1" numFmtId="34">
    <nc r="D667">
      <v>9233380</v>
    </nc>
  </rcc>
  <rcc rId="2753" sId="1" numFmtId="34">
    <nc r="E667">
      <v>0</v>
    </nc>
  </rcc>
  <rcc rId="2754" sId="1" numFmtId="34">
    <nc r="F667">
      <v>0</v>
    </nc>
  </rcc>
  <rcc rId="2755" sId="1">
    <nc r="D666">
      <f>D667</f>
    </nc>
  </rcc>
  <rcc rId="2756" sId="1">
    <nc r="D665">
      <f>D666</f>
    </nc>
  </rcc>
  <rcc rId="2757" sId="1">
    <nc r="D664">
      <f>D665</f>
    </nc>
  </rcc>
  <rcc rId="2758" sId="1">
    <nc r="E666">
      <f>E667</f>
    </nc>
  </rcc>
  <rcc rId="2759" sId="1">
    <nc r="F666">
      <f>F667</f>
    </nc>
  </rcc>
  <rcc rId="2760" sId="1">
    <nc r="E665">
      <f>E666</f>
    </nc>
  </rcc>
  <rcc rId="2761" sId="1">
    <nc r="F665">
      <f>F666</f>
    </nc>
  </rcc>
  <rcc rId="2762" sId="1">
    <nc r="E664">
      <f>E665</f>
    </nc>
  </rcc>
  <rcc rId="2763" sId="1">
    <nc r="F664">
      <f>F665</f>
    </nc>
  </rcc>
  <rcc rId="2764" sId="1">
    <nc r="C667">
      <v>244</v>
    </nc>
  </rcc>
  <rcc rId="2765" sId="1">
    <nc r="C666">
      <v>240</v>
    </nc>
  </rcc>
  <rcc rId="2766" sId="1">
    <nc r="C665">
      <v>200</v>
    </nc>
  </rcc>
  <rcc rId="2767" sId="1">
    <nc r="B664" t="inlineStr">
      <is>
        <t>59 0 00 83659</t>
      </is>
    </nc>
  </rcc>
  <rcc rId="2768" sId="1">
    <nc r="B665" t="inlineStr">
      <is>
        <t>59 0 00 83659</t>
      </is>
    </nc>
  </rcc>
  <rcc rId="2769" sId="1">
    <nc r="B666" t="inlineStr">
      <is>
        <t>59 0 00 83659</t>
      </is>
    </nc>
  </rcc>
  <rcc rId="2770" sId="1">
    <nc r="B667" t="inlineStr">
      <is>
        <t>59 0 00 83659</t>
      </is>
    </nc>
  </rcc>
  <rcv guid="{30E81E54-DD45-4653-9DCD-548F6723F554}" action="delete"/>
  <rdn rId="0" localSheetId="1" customView="1" name="Z_30E81E54_DD45_4653_9DCD_548F6723F554_.wvu.PrintArea" hidden="1" oldHidden="1">
    <formula>'программы '!$A$1:$F$754</formula>
    <oldFormula>'программы '!$A$1:$F$754</oldFormula>
  </rdn>
  <rdn rId="0" localSheetId="1" customView="1" name="Z_30E81E54_DD45_4653_9DCD_548F6723F554_.wvu.Rows" hidden="1" oldHidden="1">
    <formula>'программы '!$232:$236</formula>
    <oldFormula>'программы '!$232:$236</oldFormula>
  </rdn>
  <rdn rId="0" localSheetId="1" customView="1" name="Z_30E81E54_DD45_4653_9DCD_548F6723F554_.wvu.FilterData" hidden="1" oldHidden="1">
    <formula>'программы '!$A$1:$A$767</formula>
    <oldFormula>'программы '!$A$1:$A$767</oldFormula>
  </rdn>
  <rcv guid="{30E81E54-DD45-4653-9DCD-548F6723F55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95" sId="1" ref="A465:XFD465" action="insertRow"/>
  <rrc rId="3296" sId="1" ref="A465:XFD465" action="insertRow"/>
  <rrc rId="3297" sId="1" ref="A465:XFD465" action="insertRow"/>
  <rrc rId="3298" sId="1" ref="A465:XFD465" action="insertRow"/>
  <rcc rId="3299" sId="1" xfDxf="1" dxf="1">
    <nc r="B465" t="inlineStr">
      <is>
        <t>17 0 00 Э4950</t>
      </is>
    </nc>
    <ndxf>
      <font>
        <name val="Times New Roman Cyr"/>
        <scheme val="none"/>
      </font>
      <numFmt numFmtId="30" formatCode="@"/>
      <alignment horizontal="center" vertical="center" readingOrder="0"/>
      <border outline="0">
        <bottom style="thin">
          <color indexed="64"/>
        </bottom>
      </border>
    </ndxf>
  </rcc>
  <rcc rId="3300" sId="1" xfDxf="1" dxf="1">
    <nc r="B466" t="inlineStr">
      <is>
        <t>17 0 00 Э4950</t>
      </is>
    </nc>
    <ndxf>
      <font>
        <name val="Times New Roman Cyr"/>
        <scheme val="none"/>
      </font>
      <numFmt numFmtId="30" formatCode="@"/>
      <alignment horizontal="center" vertical="center" readingOrder="0"/>
      <border outline="0">
        <bottom style="thin">
          <color indexed="64"/>
        </bottom>
      </border>
    </ndxf>
  </rcc>
  <rcc rId="3301" sId="1" xfDxf="1" dxf="1">
    <nc r="B467" t="inlineStr">
      <is>
        <t>17 0 00 Э4950</t>
      </is>
    </nc>
    <ndxf>
      <font>
        <name val="Times New Roman Cyr"/>
        <scheme val="none"/>
      </font>
      <numFmt numFmtId="30" formatCode="@"/>
      <alignment horizontal="center" vertical="center" readingOrder="0"/>
      <border outline="0">
        <bottom style="thin">
          <color indexed="64"/>
        </bottom>
      </border>
    </ndxf>
  </rcc>
  <rcc rId="3302" sId="1" xfDxf="1" dxf="1">
    <nc r="B468" t="inlineStr">
      <is>
        <t>17 0 00 Э4950</t>
      </is>
    </nc>
    <ndxf>
      <font>
        <name val="Times New Roman Cyr"/>
        <scheme val="none"/>
      </font>
      <numFmt numFmtId="30" formatCode="@"/>
      <alignment horizontal="center" vertical="center" readingOrder="0"/>
      <border outline="0">
        <bottom style="thin">
          <color indexed="64"/>
        </bottom>
      </border>
    </ndxf>
  </rcc>
  <rcc rId="3303" sId="1">
    <nc r="C468" t="inlineStr">
      <is>
        <t>244</t>
      </is>
    </nc>
  </rcc>
  <rcc rId="3304" sId="1">
    <nc r="C467" t="inlineStr">
      <is>
        <t>240</t>
      </is>
    </nc>
  </rcc>
  <rcc rId="3305" sId="1">
    <nc r="C466" t="inlineStr">
      <is>
        <t>200</t>
      </is>
    </nc>
  </rcc>
  <rcc rId="3306" sId="1" xfDxf="1" dxf="1">
    <nc r="A465" t="inlineStr">
      <is>
        <t>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307" sId="1" xfDxf="1" dxf="1">
    <nc r="A466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308" sId="1" xfDxf="1" dxf="1">
    <nc r="A467" t="inlineStr">
      <is>
        <t>Иные закупки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309" sId="1" xfDxf="1" dxf="1">
    <nc r="A468" t="inlineStr">
      <is>
        <t>Прочая закупка товаров, работ и услуг</t>
      </is>
    </nc>
    <ndxf>
      <font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465:XFD468">
    <dxf>
      <fill>
        <patternFill patternType="solid">
          <bgColor theme="6" tint="0.59999389629810485"/>
        </patternFill>
      </fill>
    </dxf>
  </rfmt>
  <rcc rId="3310" sId="1">
    <nc r="D467">
      <f>D468</f>
    </nc>
  </rcc>
  <rcc rId="3311" sId="1">
    <nc r="E467">
      <f>E468</f>
    </nc>
  </rcc>
  <rcc rId="3312" sId="1">
    <nc r="F467">
      <f>F468</f>
    </nc>
  </rcc>
  <rcc rId="3313" sId="1">
    <nc r="D466">
      <f>D467</f>
    </nc>
  </rcc>
  <rcc rId="3314" sId="1">
    <nc r="E466">
      <f>E467</f>
    </nc>
  </rcc>
  <rcc rId="3315" sId="1">
    <nc r="F466">
      <f>F467</f>
    </nc>
  </rcc>
  <rcc rId="3316" sId="1">
    <nc r="D465">
      <f>D466</f>
    </nc>
  </rcc>
  <rcc rId="3317" sId="1">
    <nc r="E465">
      <f>E466</f>
    </nc>
  </rcc>
  <rcc rId="3318" sId="1">
    <nc r="F465">
      <f>F466</f>
    </nc>
  </rcc>
  <rcc rId="3319" sId="1">
    <oc r="D460">
      <f>D469+D461</f>
    </oc>
    <nc r="D460">
      <f>D469+D461+D465</f>
    </nc>
  </rcc>
  <rcc rId="3320" sId="1">
    <oc r="E460">
      <f>E469+E461</f>
    </oc>
    <nc r="E460">
      <f>E469+E461+E465</f>
    </nc>
  </rcc>
  <rcc rId="3321" sId="1">
    <oc r="F460">
      <f>F469+F461</f>
    </oc>
    <nc r="F460">
      <f>F469+F461+F465</f>
    </nc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64" sId="1">
    <oc r="A192" t="inlineStr">
      <is>
    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организация отдыха детей и их оздоровления (местный бюджет)</t>
      </is>
    </oc>
    <nc r="A192" t="inlineStr">
      <is>
    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 (местный бюджет)</t>
      </is>
    </nc>
  </rcc>
  <rcc rId="7865" sId="1">
    <oc r="A197" t="inlineStr">
      <is>
    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организация отдыха детей и их оздоровления</t>
      </is>
    </oc>
    <nc r="A197" t="inlineStr">
      <is>
    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'!$A$1:$F$731</formula>
    <oldFormula>'программы '!$A$1:$F$731</oldFormula>
  </rdn>
  <rdn rId="0" localSheetId="1" customView="1" name="Z_D9B90A86_BE39_4FED_8226_084809D277F3_.wvu.Rows" hidden="1" oldHidden="1">
    <formula>'программы '!$728:$728</formula>
    <oldFormula>'программы '!$728:$728</oldFormula>
  </rdn>
  <rdn rId="0" localSheetId="1" customView="1" name="Z_D9B90A86_BE39_4FED_8226_084809D277F3_.wvu.FilterData" hidden="1" oldHidden="1">
    <formula>'программы '!$C$1:$C$737</formula>
    <oldFormula>'программы '!$C$1:$C$737</oldFormula>
  </rdn>
  <rcv guid="{D9B90A86-BE39-4FED-8226-084809D277F3}" action="add"/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69" sId="1">
    <oc r="A425" t="inlineStr">
      <is>
        <t>Реализация муниципальных программ формирования современной городской среды</t>
      </is>
    </oc>
    <nc r="A425" t="inlineStr">
      <is>
        <t>Реализация программ формирования современной городской среды</t>
      </is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0" sId="1">
    <oc r="A724" t="inlineStr">
      <is>
        <t>Развитие инициативных проектов в рамках регионального проекта "Комфортное Поморье"</t>
      </is>
    </oc>
    <nc r="A724" t="inlineStr">
      <is>
        <t>Реализация инициативных проектов в рамках регионального проекта "Комфортное Поморье"</t>
      </is>
    </nc>
  </rcc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23:A724">
    <dxf>
      <fill>
        <patternFill patternType="solid">
          <bgColor rgb="FFFFFF00"/>
        </patternFill>
      </fill>
    </dxf>
  </rfmt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1" sId="1">
    <oc r="F4" t="inlineStr">
      <is>
        <t xml:space="preserve">от                  февраля 2025 года №   </t>
      </is>
    </oc>
    <nc r="F4" t="inlineStr">
      <is>
        <t xml:space="preserve">от                  апреля  2025 года №   </t>
      </is>
    </nc>
  </rcc>
  <rcv guid="{30E81E54-DD45-4653-9DCD-548F6723F554}" action="delete"/>
  <rdn rId="0" localSheetId="1" customView="1" name="Z_30E81E54_DD45_4653_9DCD_548F6723F554_.wvu.PrintArea" hidden="1" oldHidden="1">
    <formula>'программы '!$A$1:$F$729</formula>
    <oldFormula>'программы '!$A$1:$F$729</oldFormula>
  </rdn>
  <rdn rId="0" localSheetId="1" customView="1" name="Z_30E81E54_DD45_4653_9DCD_548F6723F554_.wvu.Rows" hidden="1" oldHidden="1">
    <formula>'программы '!$256:$260</formula>
    <oldFormula>'программы '!$256:$260</oldFormula>
  </rdn>
  <rdn rId="0" localSheetId="1" customView="1" name="Z_30E81E54_DD45_4653_9DCD_548F6723F554_.wvu.FilterData" hidden="1" oldHidden="1">
    <formula>'программы '!$C$1:$C$737</formula>
    <oldFormula>'программы '!$C$1:$C$737</oldFormula>
  </rdn>
  <rcv guid="{30E81E54-DD45-4653-9DCD-548F6723F554}" action="add"/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5" sId="1" numFmtId="34">
    <oc r="D150">
      <v>87471058</v>
    </oc>
    <nc r="D150">
      <f>87471058+1819680</f>
    </nc>
  </rcc>
  <rcv guid="{D9B90A86-BE39-4FED-8226-084809D277F3}" action="delete"/>
  <rdn rId="0" localSheetId="1" customView="1" name="Z_D9B90A86_BE39_4FED_8226_084809D277F3_.wvu.PrintArea" hidden="1" oldHidden="1">
    <formula>'программы '!$A$1:$F$731</formula>
    <oldFormula>'программы '!$A$1:$F$731</oldFormula>
  </rdn>
  <rdn rId="0" localSheetId="1" customView="1" name="Z_D9B90A86_BE39_4FED_8226_084809D277F3_.wvu.Rows" hidden="1" oldHidden="1">
    <formula>'программы '!$728:$728</formula>
    <oldFormula>'программы '!$728:$728</oldFormula>
  </rdn>
  <rdn rId="0" localSheetId="1" customView="1" name="Z_D9B90A86_BE39_4FED_8226_084809D277F3_.wvu.FilterData" hidden="1" oldHidden="1">
    <formula>'программы '!$C$1:$C$737</formula>
    <oldFormula>'программы '!$C$1:$C$737</oldFormula>
  </rdn>
  <rcv guid="{D9B90A86-BE39-4FED-8226-084809D277F3}" action="add"/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9" sId="1">
    <oc r="D229">
      <f>5142000-1000000</f>
    </oc>
    <nc r="D229">
      <f>5142000-1000000-15259.02</f>
    </nc>
  </rcc>
  <rrc rId="7880" sId="1" ref="A231:XFD231" action="insertRow">
    <undo index="0" exp="area" ref3D="1" dr="$A$728:$XFD$728" dn="Z_D9B90A86_BE39_4FED_8226_084809D277F3_.wvu.Rows" sId="1"/>
    <undo index="0" exp="area" ref3D="1" dr="$A$256:$XFD$260" dn="Z_7545950A_6E5E_45AB_942B_6C4201A60E54_.wvu.Rows" sId="1"/>
    <undo index="0" exp="area" ref3D="1" dr="$A$256:$XFD$260" dn="Z_30E81E54_DD45_4653_9DCD_548F6723F554_.wvu.Rows" sId="1"/>
  </rrc>
  <rrc rId="7881" sId="1" ref="A231:XFD231" action="insertRow">
    <undo index="0" exp="area" ref3D="1" dr="$A$729:$XFD$729" dn="Z_D9B90A86_BE39_4FED_8226_084809D277F3_.wvu.Rows" sId="1"/>
    <undo index="0" exp="area" ref3D="1" dr="$A$257:$XFD$261" dn="Z_7545950A_6E5E_45AB_942B_6C4201A60E54_.wvu.Rows" sId="1"/>
    <undo index="0" exp="area" ref3D="1" dr="$A$257:$XFD$261" dn="Z_30E81E54_DD45_4653_9DCD_548F6723F554_.wvu.Rows" sId="1"/>
  </rrc>
  <rcc rId="7882" sId="1">
    <nc r="C232">
      <v>850</v>
    </nc>
  </rcc>
  <rcc rId="7883" sId="1">
    <nc r="C231">
      <v>800</v>
    </nc>
  </rcc>
  <rcc rId="7884" sId="1">
    <nc r="A232" t="inlineStr">
      <is>
        <t>Уплата налогов, сборов и иных платежей</t>
      </is>
    </nc>
  </rcc>
  <rcc rId="7885" sId="1">
    <nc r="A231" t="inlineStr">
      <is>
        <t xml:space="preserve">Иные бюджетные ассигнования </t>
      </is>
    </nc>
  </rcc>
  <rcc rId="7886" sId="1">
    <nc r="B231" t="inlineStr">
      <is>
        <t>04 0 00 83670</t>
      </is>
    </nc>
  </rcc>
  <rcc rId="7887" sId="1">
    <nc r="B232" t="inlineStr">
      <is>
        <t>04 0 00 83670</t>
      </is>
    </nc>
  </rcc>
  <rcc rId="7888" sId="1">
    <nc r="D231">
      <f>D232</f>
    </nc>
  </rcc>
  <rcc rId="7889" sId="1">
    <nc r="E231">
      <f>E232</f>
    </nc>
  </rcc>
  <rcc rId="7890" sId="1">
    <nc r="F231">
      <f>F232</f>
    </nc>
  </rcc>
  <rfmt sheetId="1" sqref="C231:C232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7891" sId="1" numFmtId="34">
    <nc r="D232">
      <v>15259.02</v>
    </nc>
  </rcc>
  <rcc rId="7892" sId="1">
    <oc r="D222">
      <f>D223</f>
    </oc>
    <nc r="D222">
      <f>D223+D231</f>
    </nc>
  </rcc>
  <rcc rId="7893" sId="1">
    <oc r="E222">
      <f>E223</f>
    </oc>
    <nc r="E222">
      <f>E223+E231</f>
    </nc>
  </rcc>
  <rcc rId="7894" sId="1">
    <oc r="F222">
      <f>F223</f>
    </oc>
    <nc r="F222">
      <f>F223+F231</f>
    </nc>
  </rcc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95" sId="1" numFmtId="34">
    <oc r="D587">
      <v>180000</v>
    </oc>
    <nc r="D587">
      <f>180000+20000</f>
    </nc>
  </rcc>
  <rcc rId="7896" sId="1" numFmtId="34">
    <oc r="D483">
      <v>300000</v>
    </oc>
    <nc r="D483">
      <f>300000+21445.2</f>
    </nc>
  </rcc>
  <rcc rId="7897" sId="1">
    <oc r="D589">
      <f>5491817.59-40000+25802.14+1973398.97-408620</f>
    </oc>
    <nc r="D589">
      <f>5491817.59-40000+25802.14+1973398.97-408620-20000-21445.2</f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98" sId="1" ref="A631:XFD631" action="insertRow">
    <undo index="0" exp="area" ref3D="1" dr="$A$730:$XFD$730" dn="Z_D9B90A86_BE39_4FED_8226_084809D277F3_.wvu.Rows" sId="1"/>
  </rrc>
  <rcc rId="7899" sId="1">
    <nc r="C631">
      <v>243</v>
    </nc>
  </rcc>
  <rcc rId="7900" sId="1">
    <nc r="B631" t="inlineStr">
      <is>
        <t>59 10 00 83642</t>
      </is>
    </nc>
  </rcc>
  <rcc rId="7901" sId="1">
    <oc r="D630">
      <f>D632+D633</f>
    </oc>
    <nc r="D630">
      <f>D632+D633+D631</f>
    </nc>
  </rcc>
  <rcc rId="7902" sId="1">
    <oc r="E630">
      <f>E632+E633</f>
    </oc>
    <nc r="E630">
      <f>E632+E633+E631</f>
    </nc>
  </rcc>
  <rcc rId="7903" sId="1">
    <oc r="F630">
      <f>F632+F633</f>
    </oc>
    <nc r="F630">
      <f>F632+F633+F631</f>
    </nc>
  </rcc>
  <rcc rId="7904" sId="1">
    <nc r="A631" t="inlineStr">
      <is>
        <t>Закупка товаров, работ и услуг в целях капитального ремонта государственного (муниципального) имущества</t>
      </is>
    </nc>
  </rcc>
  <rcc rId="7905" sId="1" numFmtId="34">
    <nc r="D631">
      <v>483400</v>
    </nc>
  </rcc>
  <rcc rId="7906" sId="1">
    <oc r="D589">
      <f>5491817.59-40000+25802.14+1973398.97-408620-20000-21445.2</f>
    </oc>
    <nc r="D589">
      <f>5491817.59-40000+25802.14+1973398.97-408620-20000-21445.2-483400</f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07" sId="1">
    <oc r="D669">
      <f>109500+120000</f>
    </oc>
    <nc r="D669">
      <f>109500+120000+300+30000+30000+450+15000+100000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22" sId="1" ref="A469:XFD469" action="insertRow"/>
  <rcc rId="3323" sId="1" xfDxf="1" dxf="1">
    <nc r="B469" t="inlineStr">
      <is>
        <t>17 0 F2 00000</t>
      </is>
    </nc>
    <ndxf>
      <font>
        <name val="Times New Roman Cyr"/>
        <scheme val="none"/>
      </font>
      <numFmt numFmtId="30" formatCode="@"/>
      <fill>
        <patternFill patternType="solid">
          <bgColor theme="6" tint="0.59999389629810485"/>
        </patternFill>
      </fill>
      <alignment horizontal="center" vertical="center" readingOrder="0"/>
      <border outline="0">
        <bottom style="thin">
          <color indexed="64"/>
        </bottom>
      </border>
    </ndxf>
  </rcc>
  <rcc rId="3324" sId="1">
    <oc r="B470" t="inlineStr">
      <is>
        <t>17 0 F2 55550</t>
      </is>
    </oc>
    <nc r="B470" t="inlineStr">
      <is>
        <t>17 0 F2 55551</t>
      </is>
    </nc>
  </rcc>
  <rcc rId="3325" sId="1">
    <oc r="B471" t="inlineStr">
      <is>
        <t>17 0 F2 55550</t>
      </is>
    </oc>
    <nc r="B471" t="inlineStr">
      <is>
        <t>17 0 F2 55551</t>
      </is>
    </nc>
  </rcc>
  <rcc rId="3326" sId="1">
    <oc r="B472" t="inlineStr">
      <is>
        <t>17 0 F2 55550</t>
      </is>
    </oc>
    <nc r="B472" t="inlineStr">
      <is>
        <t>17 0 F2 55551</t>
      </is>
    </nc>
  </rcc>
  <rcc rId="3327" sId="1">
    <oc r="B473" t="inlineStr">
      <is>
        <t>17 0 F2 55550</t>
      </is>
    </oc>
    <nc r="B473" t="inlineStr">
      <is>
        <t>17 0 F2 55551</t>
      </is>
    </nc>
  </rcc>
  <rfmt sheetId="1" sqref="B470:B473">
    <dxf>
      <fill>
        <patternFill patternType="solid">
          <bgColor theme="6" tint="0.59999389629810485"/>
        </patternFill>
      </fill>
    </dxf>
  </rfmt>
  <rcc rId="3328" sId="1" xfDxf="1" dxf="1">
    <nc r="A469" t="inlineStr">
      <is>
        <t>Мероприятия в рамках регионального проекта "Формирование комфортной городской среды в Архангельской области"</t>
      </is>
    </nc>
    <ndxf>
      <font>
        <name val="Times New Roman"/>
        <scheme val="none"/>
      </font>
      <fill>
        <patternFill patternType="solid">
          <bgColor theme="6" tint="0.59999389629810485"/>
        </patternFill>
      </fill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329" sId="1">
    <nc r="D469">
      <f>D470</f>
    </nc>
  </rcc>
  <rcc rId="3330" sId="1">
    <nc r="E469">
      <f>E470</f>
    </nc>
  </rcc>
  <rcc rId="3331" sId="1">
    <nc r="F469">
      <f>F470</f>
    </nc>
  </rcc>
  <rcc rId="3332" sId="1">
    <oc r="D472">
      <f>D473</f>
    </oc>
    <nc r="D472">
      <f>D473</f>
    </nc>
  </rcc>
  <rcc rId="3333" sId="1">
    <oc r="E472">
      <f>E473</f>
    </oc>
    <nc r="E472">
      <f>E473</f>
    </nc>
  </rcc>
  <rcc rId="3334" sId="1">
    <oc r="F472">
      <f>F473</f>
    </oc>
    <nc r="F472">
      <f>F473</f>
    </nc>
  </rcc>
  <rcc rId="3335" sId="1">
    <oc r="D471">
      <f>D472</f>
    </oc>
    <nc r="D471">
      <f>D472</f>
    </nc>
  </rcc>
  <rcc rId="3336" sId="1">
    <oc r="E471">
      <f>E472</f>
    </oc>
    <nc r="E471">
      <f>E472</f>
    </nc>
  </rcc>
  <rcc rId="3337" sId="1">
    <oc r="F471">
      <f>F472</f>
    </oc>
    <nc r="F471">
      <f>F472</f>
    </nc>
  </rcc>
  <rcc rId="3338" sId="1">
    <oc r="D470">
      <f>D472</f>
    </oc>
    <nc r="D470">
      <f>D471</f>
    </nc>
  </rcc>
  <rcc rId="3339" sId="1">
    <oc r="E470">
      <f>E472</f>
    </oc>
    <nc r="E470">
      <f>E471</f>
    </nc>
  </rcc>
  <rcc rId="3340" sId="1">
    <oc r="F470">
      <f>F472</f>
    </oc>
    <nc r="F470">
      <f>F471</f>
    </nc>
  </rcc>
  <rfmt sheetId="1" sqref="A469" start="0" length="2147483647">
    <dxf>
      <font>
        <i/>
      </font>
    </dxf>
  </rfmt>
  <rfmt sheetId="1" sqref="A469" start="0" length="2147483647">
    <dxf>
      <font>
        <i val="0"/>
      </font>
    </dxf>
  </rfmt>
  <rcc rId="3341" sId="1">
    <oc r="D460">
      <f>D470+D461+D465</f>
    </oc>
    <nc r="D460">
      <f>D469+D461+D465</f>
    </nc>
  </rcc>
  <rcc rId="3342" sId="1">
    <oc r="E460">
      <f>E470+E461+E465</f>
    </oc>
    <nc r="E460">
      <f>E469+E461+E465</f>
    </nc>
  </rcc>
  <rcc rId="3343" sId="1">
    <oc r="F460">
      <f>F470+F461+F465</f>
    </oc>
    <nc r="F460">
      <f>F469+F461+F465</f>
    </nc>
  </rcc>
  <rcv guid="{D9B90A86-BE39-4FED-8226-084809D277F3}" action="delete"/>
  <rdn rId="0" localSheetId="1" customView="1" name="Z_D9B90A86_BE39_4FED_8226_084809D277F3_.wvu.PrintArea" hidden="1" oldHidden="1">
    <formula>'программы '!$A$1:$F$820</formula>
    <oldFormula>'программы '!$A$1:$F$820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'!$A$1:$A$833</formula>
    <oldFormula>'программы '!$A$1:$A$833</oldFormula>
  </rdn>
  <rcv guid="{D9B90A86-BE39-4FED-8226-084809D277F3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08" sId="1">
    <oc r="D589">
      <f>5491817.59-40000+25802.14+1973398.97-408620-20000-21445.2-483400</f>
    </oc>
    <nc r="D589">
      <f>5491817.59-40000+25802.14+1973398.97-408620-20000-21445.2-483400-175750</f>
    </nc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09" sId="1" numFmtId="34">
    <oc r="F336">
      <v>201682.78</v>
    </oc>
    <nc r="F336">
      <f>201682.78+15180.42</f>
    </nc>
  </rcc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10" sId="1" numFmtId="34">
    <oc r="F730">
      <v>39186861.990000002</v>
    </oc>
    <nc r="F730">
      <f>39186861.99-15180.42</f>
    </nc>
  </rcc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11" sId="1" numFmtId="34">
    <oc r="D225">
      <v>1849653.26</v>
    </oc>
    <nc r="D225">
      <f>1849653.26-301000</f>
    </nc>
  </rcc>
  <rcc rId="7912" sId="1">
    <oc r="D237">
      <f>5173948.61-11650</f>
    </oc>
    <nc r="D237">
      <f>5173948.61-11650+80000</f>
    </nc>
  </rcc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13" sId="1">
    <oc r="D271">
      <f>809500+907140.56</f>
    </oc>
    <nc r="D271">
      <f>809500+907140.56+126000</f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14" sId="1" numFmtId="34">
    <oc r="D710">
      <v>72406</v>
    </oc>
    <nc r="D710">
      <f>72406-276</f>
    </nc>
  </rcc>
  <rcc rId="7915" sId="1" numFmtId="34">
    <oc r="D277">
      <v>648</v>
    </oc>
    <nc r="D277">
      <f>648+276</f>
    </nc>
  </rcc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16" sId="1" numFmtId="34">
    <oc r="D570">
      <v>8374132.8799999999</v>
    </oc>
    <nc r="D570">
      <f>8374132.88-10000</f>
    </nc>
  </rcc>
  <rcc rId="7917" sId="1" numFmtId="34">
    <oc r="D707">
      <v>6018334</v>
    </oc>
    <nc r="D707">
      <f>6018334+10000</f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18" sId="1">
    <oc r="D648">
      <f>350000-11426</f>
    </oc>
    <nc r="D648">
      <f>350000-11426-66344.57</f>
    </nc>
  </rcc>
  <rrc rId="7919" sId="1" ref="A624:XFD624" action="insertRow">
    <undo index="0" exp="area" ref3D="1" dr="$A$731:$XFD$731" dn="Z_D9B90A86_BE39_4FED_8226_084809D277F3_.wvu.Rows" sId="1"/>
  </rrc>
  <rrc rId="7920" sId="1" ref="A624:XFD624" action="insertRow">
    <undo index="0" exp="area" ref3D="1" dr="$A$732:$XFD$732" dn="Z_D9B90A86_BE39_4FED_8226_084809D277F3_.wvu.Rows" sId="1"/>
  </rrc>
  <rrc rId="7921" sId="1" ref="A624:XFD624" action="insertRow">
    <undo index="0" exp="area" ref3D="1" dr="$A$733:$XFD$733" dn="Z_D9B90A86_BE39_4FED_8226_084809D277F3_.wvu.Rows" sId="1"/>
  </rrc>
  <rcc rId="7922" sId="1">
    <nc r="C626">
      <v>414</v>
    </nc>
  </rcc>
  <rcc rId="7923" sId="1">
    <nc r="C625">
      <v>410</v>
    </nc>
  </rcc>
  <rcc rId="7924" sId="1">
    <nc r="C624">
      <v>400</v>
    </nc>
  </rcc>
  <rcc rId="7925" sId="1">
    <nc r="D625">
      <f>D626</f>
    </nc>
  </rcc>
  <rcc rId="7926" sId="1">
    <nc r="E625">
      <f>E626</f>
    </nc>
  </rcc>
  <rcc rId="7927" sId="1">
    <nc r="F625">
      <f>F626</f>
    </nc>
  </rcc>
  <rcc rId="7928" sId="1">
    <nc r="D624">
      <f>D625</f>
    </nc>
  </rcc>
  <rcc rId="7929" sId="1">
    <nc r="E624">
      <f>E625</f>
    </nc>
  </rcc>
  <rcc rId="7930" sId="1">
    <nc r="F624">
      <f>F625</f>
    </nc>
  </rcc>
  <rcc rId="7931" sId="1">
    <nc r="B626" t="inlineStr">
      <is>
        <t>59 0 00 83610</t>
      </is>
    </nc>
  </rcc>
  <rcc rId="7932" sId="1">
    <nc r="B625" t="inlineStr">
      <is>
        <t>59 0 00 83610</t>
      </is>
    </nc>
  </rcc>
  <rcc rId="7933" sId="1">
    <nc r="B624" t="inlineStr">
      <is>
        <t>59 0 00 83610</t>
      </is>
    </nc>
  </rcc>
  <rcc rId="7934" sId="1">
    <nc r="A626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7935" sId="1">
    <nc r="A625" t="inlineStr">
      <is>
        <t>Бюджетные инвестиции</t>
      </is>
    </nc>
  </rcc>
  <rcc rId="7936" sId="1">
    <nc r="A624" t="inlineStr">
      <is>
        <t>Капитальные вложения в объекты государственной (муниципальной) собственности</t>
      </is>
    </nc>
  </rcc>
  <rcc rId="7937" sId="1" numFmtId="34">
    <nc r="D626">
      <v>66344.570000000007</v>
    </nc>
  </rcc>
  <rcc rId="7938" sId="1">
    <oc r="D619">
      <f>D620</f>
    </oc>
    <nc r="D619">
      <f>D620+D624</f>
    </nc>
  </rcc>
  <rcc rId="7939" sId="1">
    <oc r="E619">
      <f>E620</f>
    </oc>
    <nc r="E619">
      <f>E620+E624</f>
    </nc>
  </rcc>
  <rcc rId="7940" sId="1">
    <oc r="F619">
      <f>F620</f>
    </oc>
    <nc r="F619">
      <f>F620+F624</f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41" sId="1">
    <oc r="D237">
      <f>5173948.61-11650+80000</f>
    </oc>
    <nc r="D237">
      <f>5173948.61-11650+80000+200000</f>
    </nc>
  </rcc>
  <rcc rId="7942" sId="1" numFmtId="34">
    <oc r="D272">
      <v>194072.49</v>
    </oc>
    <nc r="D272">
      <f>194072.49+85000</f>
    </nc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43" sId="1">
    <oc r="D271">
      <f>809500+907140.56+126000</f>
    </oc>
    <nc r="D271">
      <f>809500+907140.56+126000+70000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47" sId="1" ref="A802:XFD802" action="insertRow"/>
  <rrc rId="3348" sId="1" ref="A802:XFD802" action="insertRow"/>
  <rrc rId="3349" sId="1" ref="A802:XFD802" action="insertRow"/>
  <rrc rId="3350" sId="1" ref="A802:XFD802" action="insertRow"/>
  <rfmt sheetId="1" sqref="A802:A805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rc rId="3351" sId="1" ref="A803:XFD803" action="deleteRow">
    <rfmt sheetId="1" xfDxf="1" sqref="A803:XFD803" start="0" length="0">
      <dxf>
        <font>
          <i/>
          <name val="Times New Roman"/>
          <scheme val="none"/>
        </font>
        <alignment vertical="center" readingOrder="0"/>
      </dxf>
    </rfmt>
    <rfmt sheetId="1" sqref="A803" start="0" length="0">
      <dxf>
        <font>
          <i val="0"/>
          <name val="Times New Roman"/>
          <scheme val="none"/>
        </font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3" start="0" length="0">
      <dxf>
        <font>
          <i val="0"/>
          <name val="Times New Roman"/>
          <scheme val="none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3" start="0" length="0">
      <dxf>
        <font>
          <i val="0"/>
          <name val="Times New Roman"/>
          <scheme val="none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="1" sqref="D803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803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03" start="0" length="0">
      <dxf>
        <font>
          <i val="0"/>
          <sz val="10"/>
          <color auto="1"/>
          <name val="Times New Roman"/>
          <scheme val="none"/>
        </font>
        <numFmt numFmtId="164" formatCode="_-* #,##0.00_р_._-;\-* #,##0.00_р_._-;_-* &quot;-&quot;??_р_._-;_-@_-"/>
        <border outline="0">
          <right style="thin">
            <color indexed="64"/>
          </right>
          <bottom style="thin">
            <color indexed="64"/>
          </bottom>
        </border>
      </dxf>
    </rfmt>
  </rrc>
  <rcc rId="3352" sId="1">
    <nc r="C804" t="inlineStr">
      <is>
        <t>880</t>
      </is>
    </nc>
  </rcc>
  <rcc rId="3353" sId="1">
    <nc r="C803" t="inlineStr">
      <is>
        <t>800</t>
      </is>
    </nc>
  </rcc>
  <rcc rId="3354" sId="1" xfDxf="1" dxf="1">
    <nc r="B802" t="inlineStr">
      <is>
        <t>64 0 00 81170</t>
      </is>
    </nc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55" sId="1" xfDxf="1" dxf="1">
    <nc r="B803" t="inlineStr">
      <is>
        <t>64 0 00 81170</t>
      </is>
    </nc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56" sId="1" xfDxf="1" dxf="1">
    <nc r="B804" t="inlineStr">
      <is>
        <t>64 0 00 81170</t>
      </is>
    </nc>
    <n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57" sId="1" xfDxf="1" dxf="1">
    <nc r="A802" t="inlineStr">
      <is>
        <t>Оказание содействия в подготовке и проведении выборов Президента Российской Федерации и информирования избирателей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58" sId="1" xfDxf="1" dxf="1">
    <nc r="A803" t="inlineStr">
      <is>
        <t xml:space="preserve">Иные бюджетные ассигнования 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59" sId="1" xfDxf="1" dxf="1">
    <nc r="A804" t="inlineStr">
      <is>
        <t>Специальные расходы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60" sId="1">
    <nc r="D803">
      <f>D804</f>
    </nc>
  </rcc>
  <rcc rId="3361" sId="1" odxf="1" dxf="1">
    <nc r="E803">
      <f>E804</f>
    </nc>
    <odxf>
      <border outline="0">
        <left/>
      </border>
    </odxf>
    <ndxf>
      <border outline="0">
        <left style="thin">
          <color indexed="64"/>
        </left>
      </border>
    </ndxf>
  </rcc>
  <rcc rId="3362" sId="1" odxf="1" dxf="1">
    <nc r="F803">
      <f>F804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3363" sId="1">
    <nc r="D802">
      <f>D803</f>
    </nc>
  </rcc>
  <rcc rId="3364" sId="1" odxf="1" dxf="1">
    <nc r="E802">
      <f>E803</f>
    </nc>
    <odxf>
      <border outline="0">
        <left/>
      </border>
    </odxf>
    <ndxf>
      <border outline="0">
        <left style="thin">
          <color indexed="64"/>
        </left>
      </border>
    </ndxf>
  </rcc>
  <rcc rId="3365" sId="1" odxf="1" dxf="1">
    <nc r="F802">
      <f>F803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3366" sId="1">
    <oc r="D792">
      <f>D794+D796+D799</f>
    </oc>
    <nc r="D792">
      <f>D794+D796+D799+D802</f>
    </nc>
  </rcc>
  <rcc rId="3367" sId="1">
    <oc r="E792">
      <f>E794+E796+E799</f>
    </oc>
    <nc r="E792">
      <f>E794+E796+E799+E802</f>
    </nc>
  </rcc>
  <rcc rId="3368" sId="1">
    <oc r="F792">
      <f>F794+F796+F799</f>
    </oc>
    <nc r="F792">
      <f>F794+F796+F799+F802</f>
    </nc>
  </rcc>
  <rcv guid="{D9B90A86-BE39-4FED-8226-084809D277F3}" action="delete"/>
  <rdn rId="0" localSheetId="1" customView="1" name="Z_D9B90A86_BE39_4FED_8226_084809D277F3_.wvu.PrintArea" hidden="1" oldHidden="1">
    <formula>'программы '!$A$1:$F$823</formula>
    <oldFormula>'программы '!$A$1:$F$823</oldFormula>
  </rdn>
  <rdn rId="0" localSheetId="1" customView="1" name="Z_D9B90A86_BE39_4FED_8226_084809D277F3_.wvu.Rows" hidden="1" oldHidden="1">
    <formula>'программы '!$272:$276</formula>
    <oldFormula>'программы '!$272:$276</oldFormula>
  </rdn>
  <rdn rId="0" localSheetId="1" customView="1" name="Z_D9B90A86_BE39_4FED_8226_084809D277F3_.wvu.FilterData" hidden="1" oldHidden="1">
    <formula>'программы '!$A$1:$A$836</formula>
    <oldFormula>'программы '!$A$1:$A$836</oldFormula>
  </rdn>
  <rcv guid="{D9B90A86-BE39-4FED-8226-084809D277F3}" action="add"/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44" sId="1" ref="A730:XFD730" action="insertRow">
    <undo index="0" exp="area" ref3D="1" dr="$A$734:$XFD$734" dn="Z_D9B90A86_BE39_4FED_8226_084809D277F3_.wvu.Rows" sId="1"/>
  </rrc>
  <rrc rId="7945" sId="1" ref="A730:XFD730" action="insertRow">
    <undo index="0" exp="area" ref3D="1" dr="$A$735:$XFD$735" dn="Z_D9B90A86_BE39_4FED_8226_084809D277F3_.wvu.Rows" sId="1"/>
  </rrc>
  <rrc rId="7946" sId="1" ref="A730:XFD730" action="insertRow">
    <undo index="0" exp="area" ref3D="1" dr="$A$736:$XFD$736" dn="Z_D9B90A86_BE39_4FED_8226_084809D277F3_.wvu.Rows" sId="1"/>
  </rrc>
  <rrc rId="7947" sId="1" ref="A730:XFD730" action="insertRow">
    <undo index="0" exp="area" ref3D="1" dr="$A$737:$XFD$737" dn="Z_D9B90A86_BE39_4FED_8226_084809D277F3_.wvu.Rows" sId="1"/>
  </rrc>
  <rfmt sheetId="1" sqref="A730:XFD733">
    <dxf>
      <fill>
        <patternFill>
          <bgColor theme="0"/>
        </patternFill>
      </fill>
    </dxf>
  </rfmt>
  <rfmt sheetId="1" sqref="A730:XFD733" start="0" length="2147483647">
    <dxf>
      <font>
        <b val="0"/>
      </font>
    </dxf>
  </rfmt>
  <rfmt sheetId="1" sqref="A730:XFD733" start="0" length="2147483647">
    <dxf>
      <font>
        <i val="0"/>
      </font>
    </dxf>
  </rfmt>
  <rcc rId="7948" sId="1">
    <nc r="C733">
      <v>244</v>
    </nc>
  </rcc>
  <rcc rId="7949" sId="1">
    <nc r="C732">
      <v>240</v>
    </nc>
  </rcc>
  <rcc rId="7950" sId="1">
    <nc r="C731">
      <v>200</v>
    </nc>
  </rcc>
  <rcc rId="7951" sId="1">
    <nc r="B733" t="inlineStr">
      <is>
        <t>67 0 00 88890</t>
      </is>
    </nc>
  </rcc>
  <rcc rId="7952" sId="1">
    <nc r="B732" t="inlineStr">
      <is>
        <t>67 0 00 88890</t>
      </is>
    </nc>
  </rcc>
  <rcc rId="7953" sId="1">
    <nc r="B731" t="inlineStr">
      <is>
        <t>67 0 00 88890</t>
      </is>
    </nc>
  </rcc>
  <rcc rId="7954" sId="1">
    <nc r="B730" t="inlineStr">
      <is>
        <t>67 0 00 88890</t>
      </is>
    </nc>
  </rcc>
  <rcc rId="7955" sId="1">
    <nc r="D732">
      <f>D733</f>
    </nc>
  </rcc>
  <rcc rId="7956" sId="1">
    <nc r="E732">
      <f>E733</f>
    </nc>
  </rcc>
  <rcc rId="7957" sId="1">
    <nc r="F732">
      <f>F733</f>
    </nc>
  </rcc>
  <rcc rId="7958" sId="1">
    <nc r="D730">
      <f>D731</f>
    </nc>
  </rcc>
  <rcc rId="7959" sId="1">
    <nc r="E730">
      <f>E731</f>
    </nc>
  </rcc>
  <rcc rId="7960" sId="1">
    <nc r="F730">
      <f>F731</f>
    </nc>
  </rcc>
  <rcc rId="7961" sId="1">
    <nc r="D731">
      <f>D732</f>
    </nc>
  </rcc>
  <rcc rId="7962" sId="1">
    <nc r="E731">
      <f>E732</f>
    </nc>
  </rcc>
  <rcc rId="7963" sId="1">
    <nc r="F731">
      <f>F732</f>
    </nc>
  </rcc>
  <rcc rId="7964" sId="1">
    <oc r="D729">
      <f>D734</f>
    </oc>
    <nc r="D729">
      <f>D734+D730</f>
    </nc>
  </rcc>
  <rcc rId="7965" sId="1">
    <oc r="E729">
      <f>E734</f>
    </oc>
    <nc r="E729">
      <f>E734+E730</f>
    </nc>
  </rcc>
  <rcc rId="7966" sId="1">
    <oc r="F729">
      <f>F734</f>
    </oc>
    <nc r="F729">
      <f>F734+F730</f>
    </nc>
  </rcc>
  <rcc rId="7967" sId="1" numFmtId="34">
    <nc r="D733">
      <v>214099.75</v>
    </nc>
  </rcc>
  <rcv guid="{D9B90A86-BE39-4FED-8226-084809D277F3}" action="delete"/>
  <rdn rId="0" localSheetId="1" customView="1" name="Z_D9B90A86_BE39_4FED_8226_084809D277F3_.wvu.PrintArea" hidden="1" oldHidden="1">
    <formula>'программы '!$A$1:$F$741</formula>
    <oldFormula>'программы '!$A$1:$F$741</oldFormula>
  </rdn>
  <rdn rId="0" localSheetId="1" customView="1" name="Z_D9B90A86_BE39_4FED_8226_084809D277F3_.wvu.Rows" hidden="1" oldHidden="1">
    <formula>'программы '!$738:$738</formula>
    <oldFormula>'программы '!$738:$738</oldFormula>
  </rdn>
  <rdn rId="0" localSheetId="1" customView="1" name="Z_D9B90A86_BE39_4FED_8226_084809D277F3_.wvu.FilterData" hidden="1" oldHidden="1">
    <formula>'программы '!$C$1:$C$747</formula>
    <oldFormula>'программы '!$C$1:$C$747</oldFormula>
  </rdn>
  <rcv guid="{D9B90A86-BE39-4FED-8226-084809D277F3}" action="add"/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71" sId="1">
    <nc r="A733" t="inlineStr">
      <is>
        <t>Прочая закупка товаров, работ и услуг</t>
      </is>
    </nc>
  </rcc>
  <rcc rId="7972" sId="1">
    <nc r="A732" t="inlineStr">
      <is>
        <t>Иные закупки товаров, работ и услуг для обеспечения государственных (муниципальных) нужд</t>
      </is>
    </nc>
  </rcc>
  <rcc rId="7973" sId="1">
    <nc r="A731" t="inlineStr">
      <is>
        <t>Закупка товаров, работ и услуг для обеспечения государственных (муниципальных) нужд</t>
      </is>
    </nc>
  </rcc>
  <rcc rId="7974" sId="1">
    <nc r="A730" t="inlineStr">
      <is>
        <t>Софинансирование к иным межбюджетным трансфертам на реализацию инициативных проектов</t>
      </is>
    </nc>
  </rcc>
  <rrc rId="7975" sId="1" ref="A737:XFD737" action="insertRow">
    <undo index="0" exp="area" ref3D="1" dr="$A$738:$XFD$738" dn="Z_D9B90A86_BE39_4FED_8226_084809D277F3_.wvu.Rows" sId="1"/>
  </rrc>
  <rrc rId="7976" sId="1" ref="A737:XFD737" action="insertRow">
    <undo index="0" exp="area" ref3D="1" dr="$A$739:$XFD$739" dn="Z_D9B90A86_BE39_4FED_8226_084809D277F3_.wvu.Rows" sId="1"/>
  </rrc>
  <rrc rId="7977" sId="1" ref="A737:XFD737" action="insertRow">
    <undo index="0" exp="area" ref3D="1" dr="$A$740:$XFD$740" dn="Z_D9B90A86_BE39_4FED_8226_084809D277F3_.wvu.Rows" sId="1"/>
  </rrc>
  <rrc rId="7978" sId="1" ref="A737:XFD737" action="insertRow">
    <undo index="0" exp="area" ref3D="1" dr="$A$741:$XFD$741" dn="Z_D9B90A86_BE39_4FED_8226_084809D277F3_.wvu.Rows" sId="1"/>
  </rrc>
  <rcc rId="7979" sId="1">
    <nc r="C740">
      <v>244</v>
    </nc>
  </rcc>
  <rcc rId="7980" sId="1">
    <nc r="C739">
      <v>240</v>
    </nc>
  </rcc>
  <rcc rId="7981" sId="1">
    <nc r="C738">
      <v>200</v>
    </nc>
  </rcc>
  <rcc rId="7982" sId="1">
    <nc r="B740" t="inlineStr">
      <is>
        <t>67 0 00 S8890</t>
      </is>
    </nc>
  </rcc>
  <rcc rId="7983" sId="1">
    <nc r="B739" t="inlineStr">
      <is>
        <t>67 0 00 S8890</t>
      </is>
    </nc>
  </rcc>
  <rcc rId="7984" sId="1">
    <nc r="B738" t="inlineStr">
      <is>
        <t>67 0 00 S8890</t>
      </is>
    </nc>
  </rcc>
  <rcc rId="7985" sId="1">
    <nc r="B737" t="inlineStr">
      <is>
        <t>67 0 00 S8890</t>
      </is>
    </nc>
  </rcc>
  <rcc rId="7986" sId="1">
    <nc r="D739">
      <f>D740</f>
    </nc>
  </rcc>
  <rcc rId="7987" sId="1" odxf="1" dxf="1">
    <nc r="E739">
      <f>E740</f>
    </nc>
    <odxf>
      <border outline="0">
        <left/>
      </border>
    </odxf>
    <ndxf>
      <border outline="0">
        <left style="thin">
          <color indexed="64"/>
        </left>
      </border>
    </ndxf>
  </rcc>
  <rcc rId="7988" sId="1" odxf="1" dxf="1">
    <nc r="F739">
      <f>F740</f>
    </nc>
    <odxf>
      <border outline="0">
        <left/>
      </border>
    </odxf>
    <ndxf>
      <border outline="0">
        <left style="thin">
          <color indexed="64"/>
        </left>
      </border>
    </ndxf>
  </rcc>
  <rcc rId="7989" sId="1">
    <nc r="D737">
      <f>D738</f>
    </nc>
  </rcc>
  <rcc rId="7990" sId="1" odxf="1" dxf="1">
    <nc r="E737">
      <f>E738</f>
    </nc>
    <odxf>
      <border outline="0">
        <left/>
      </border>
    </odxf>
    <ndxf>
      <border outline="0">
        <left style="thin">
          <color indexed="64"/>
        </left>
      </border>
    </ndxf>
  </rcc>
  <rcc rId="7991" sId="1" odxf="1" dxf="1">
    <nc r="F737">
      <f>F738</f>
    </nc>
    <odxf>
      <border outline="0">
        <left/>
      </border>
    </odxf>
    <ndxf>
      <border outline="0">
        <left style="thin">
          <color indexed="64"/>
        </left>
      </border>
    </ndxf>
  </rcc>
  <rcc rId="7992" sId="1">
    <nc r="D738">
      <f>D739</f>
    </nc>
  </rcc>
  <rcc rId="7993" sId="1" odxf="1" dxf="1">
    <nc r="E738">
      <f>E739</f>
    </nc>
    <odxf>
      <border outline="0">
        <left/>
      </border>
    </odxf>
    <ndxf>
      <border outline="0">
        <left style="thin">
          <color indexed="64"/>
        </left>
      </border>
    </ndxf>
  </rcc>
  <rcc rId="7994" sId="1" odxf="1" dxf="1">
    <nc r="F738">
      <f>F739</f>
    </nc>
    <odxf>
      <border outline="0">
        <left/>
      </border>
    </odxf>
    <ndxf>
      <border outline="0">
        <left style="thin">
          <color indexed="64"/>
        </left>
      </border>
    </ndxf>
  </rcc>
  <rcc rId="7995" sId="1" numFmtId="34">
    <nc r="D740">
      <v>214099.75</v>
    </nc>
  </rcc>
  <rcc rId="7996" sId="1">
    <oc r="D729">
      <f>D734+D730</f>
    </oc>
    <nc r="D729">
      <f>D734+D730+D737</f>
    </nc>
  </rcc>
  <rcc rId="7997" sId="1">
    <oc r="E729">
      <f>E734+E730</f>
    </oc>
    <nc r="E729">
      <f>E734+E730+E737</f>
    </nc>
  </rcc>
  <rcc rId="7998" sId="1">
    <oc r="F729">
      <f>F734+F730</f>
    </oc>
    <nc r="F729">
      <f>F734+F730+F737</f>
    </nc>
  </rcc>
  <rcc rId="7999" sId="1">
    <nc r="A740" t="inlineStr">
      <is>
        <t>Прочая закупка товаров, работ и услуг</t>
      </is>
    </nc>
  </rcc>
  <rcc rId="8000" sId="1">
    <nc r="A739" t="inlineStr">
      <is>
        <t>Иные закупки товаров, работ и услуг для обеспечения государственных (муниципальных) нужд</t>
      </is>
    </nc>
  </rcc>
  <rcc rId="8001" sId="1">
    <nc r="A738" t="inlineStr">
      <is>
        <t>Закупка товаров, работ и услуг для обеспечения государственных (муниципальных) нужд</t>
      </is>
    </nc>
  </rcc>
  <rcc rId="8002" sId="1">
    <nc r="A737" t="inlineStr">
      <is>
        <t>Реализация инициативных проектов в рамках регионального проекта "Комфортное Поморье" (средства местного бюджета)</t>
      </is>
    </nc>
  </rcc>
  <rfmt sheetId="1" sqref="A729">
    <dxf>
      <fill>
        <patternFill>
          <bgColor rgb="FFFF0000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'!$A$1:$F$745</formula>
    <oldFormula>'программы '!$A$1:$F$745</oldFormula>
  </rdn>
  <rdn rId="0" localSheetId="1" customView="1" name="Z_D9B90A86_BE39_4FED_8226_084809D277F3_.wvu.Rows" hidden="1" oldHidden="1">
    <formula>'программы '!$742:$742</formula>
    <oldFormula>'программы '!$742:$742</oldFormula>
  </rdn>
  <rdn rId="0" localSheetId="1" customView="1" name="Z_D9B90A86_BE39_4FED_8226_084809D277F3_.wvu.FilterData" hidden="1" oldHidden="1">
    <formula>'программы '!$C$1:$C$751</formula>
    <oldFormula>'программы '!$C$1:$C$751</oldFormula>
  </rdn>
  <rcv guid="{D9B90A86-BE39-4FED-8226-084809D277F3}" action="add"/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006" sId="1" ref="A735:XFD735" action="insertRow">
    <undo index="0" exp="area" ref3D="1" dr="$A$742:$XFD$742" dn="Z_D9B90A86_BE39_4FED_8226_084809D277F3_.wvu.Rows" sId="1"/>
  </rrc>
  <rrc rId="8007" sId="1" ref="A735:XFD735" action="insertRow">
    <undo index="0" exp="area" ref3D="1" dr="$A$743:$XFD$743" dn="Z_D9B90A86_BE39_4FED_8226_084809D277F3_.wvu.Rows" sId="1"/>
  </rrc>
  <rrc rId="8008" sId="1" ref="A735:XFD735" action="insertRow">
    <undo index="0" exp="area" ref3D="1" dr="$A$744:$XFD$744" dn="Z_D9B90A86_BE39_4FED_8226_084809D277F3_.wvu.Rows" sId="1"/>
  </rrc>
  <rcc rId="8009" sId="1">
    <nc r="C737">
      <v>244</v>
    </nc>
  </rcc>
  <rcc rId="8010" sId="1">
    <nc r="C736">
      <v>240</v>
    </nc>
  </rcc>
  <rcc rId="8011" sId="1">
    <nc r="C735">
      <v>200</v>
    </nc>
  </rcc>
  <rfmt sheetId="1" sqref="A735:A737">
    <dxf>
      <fill>
        <patternFill>
          <bgColor theme="0"/>
        </patternFill>
      </fill>
    </dxf>
  </rfmt>
  <rcc rId="8012" sId="1">
    <nc r="B737" t="inlineStr">
      <is>
        <t>67 0 00 Э8890</t>
      </is>
    </nc>
  </rcc>
  <rcc rId="8013" sId="1">
    <nc r="B736" t="inlineStr">
      <is>
        <t>67 0 00 Э8890</t>
      </is>
    </nc>
  </rcc>
  <rcc rId="8014" sId="1">
    <nc r="B735" t="inlineStr">
      <is>
        <t>67 0 00 Э8890</t>
      </is>
    </nc>
  </rcc>
  <rcc rId="8015" sId="1">
    <nc r="A737" t="inlineStr">
      <is>
        <t>Прочая закупка товаров, работ и услуг</t>
      </is>
    </nc>
  </rcc>
  <rcc rId="8016" sId="1">
    <nc r="A736" t="inlineStr">
      <is>
        <t>Иные закупки товаров, работ и услуг для обеспечения государственных (муниципальных) нужд</t>
      </is>
    </nc>
  </rcc>
  <rfmt sheetId="1" sqref="A735:XFD737" start="0" length="2147483647">
    <dxf>
      <font>
        <i val="0"/>
      </font>
    </dxf>
  </rfmt>
  <rcc rId="8017" sId="1">
    <nc r="A735" t="inlineStr">
      <is>
        <t>Закупка товаров, работ и услуг для обеспечения государственных (муниципальных) нужд</t>
      </is>
    </nc>
  </rcc>
  <rcc rId="8018" sId="1">
    <nc r="D736">
      <f>D737</f>
    </nc>
  </rcc>
  <rcc rId="8019" sId="1">
    <nc r="E736">
      <f>E737</f>
    </nc>
  </rcc>
  <rcc rId="8020" sId="1">
    <nc r="F736">
      <f>F737</f>
    </nc>
  </rcc>
  <rcc rId="8021" sId="1">
    <nc r="D735">
      <f>D736</f>
    </nc>
  </rcc>
  <rcc rId="8022" sId="1">
    <nc r="E735">
      <f>E736</f>
    </nc>
  </rcc>
  <rcc rId="8023" sId="1">
    <nc r="F735">
      <f>F736</f>
    </nc>
  </rcc>
  <rcc rId="8024" sId="1">
    <oc r="D734">
      <f>D738</f>
    </oc>
    <nc r="D734">
      <f>D738+D735</f>
    </nc>
  </rcc>
  <rcc rId="8025" sId="1">
    <oc r="E734">
      <f>E738</f>
    </oc>
    <nc r="E734">
      <f>E738+E735</f>
    </nc>
  </rcc>
  <rcc rId="8026" sId="1">
    <oc r="F734">
      <f>F738</f>
    </oc>
    <nc r="F734">
      <f>F738+F735</f>
    </nc>
  </rcc>
  <rcv guid="{D9B90A86-BE39-4FED-8226-084809D277F3}" action="delete"/>
  <rdn rId="0" localSheetId="1" customView="1" name="Z_D9B90A86_BE39_4FED_8226_084809D277F3_.wvu.PrintArea" hidden="1" oldHidden="1">
    <formula>'программы '!$A$1:$F$748</formula>
    <oldFormula>'программы '!$A$1:$F$748</oldFormula>
  </rdn>
  <rdn rId="0" localSheetId="1" customView="1" name="Z_D9B90A86_BE39_4FED_8226_084809D277F3_.wvu.Rows" hidden="1" oldHidden="1">
    <formula>'программы '!$745:$745</formula>
    <oldFormula>'программы '!$745:$745</oldFormula>
  </rdn>
  <rdn rId="0" localSheetId="1" customView="1" name="Z_D9B90A86_BE39_4FED_8226_084809D277F3_.wvu.FilterData" hidden="1" oldHidden="1">
    <formula>'программы '!$C$1:$C$754</formula>
    <oldFormula>'программы '!$C$1:$C$754</oldFormula>
  </rdn>
  <rcv guid="{D9B90A86-BE39-4FED-8226-084809D277F3}" action="add"/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30" sId="1" numFmtId="34">
    <nc r="D737">
      <v>3853795.5</v>
    </nc>
  </rcc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31" sId="1" numFmtId="34">
    <oc r="D739">
      <v>8000000</v>
    </oc>
    <nc r="D739">
      <f>8000000-3853795.5</f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032" sId="1" ref="A734:XFD734" action="insertRow">
    <undo index="0" exp="area" ref3D="1" dr="$A$745:$XFD$745" dn="Z_D9B90A86_BE39_4FED_8226_084809D277F3_.wvu.Rows" sId="1"/>
  </rrc>
  <rrc rId="8033" sId="1" ref="A734:XFD734" action="insertRow">
    <undo index="0" exp="area" ref3D="1" dr="$A$746:$XFD$746" dn="Z_D9B90A86_BE39_4FED_8226_084809D277F3_.wvu.Rows" sId="1"/>
  </rrc>
  <rrc rId="8034" sId="1" ref="A734:XFD734" action="insertRow">
    <undo index="0" exp="area" ref3D="1" dr="$A$747:$XFD$747" dn="Z_D9B90A86_BE39_4FED_8226_084809D277F3_.wvu.Rows" sId="1"/>
  </rrc>
  <rcc rId="8035" sId="1">
    <nc r="C736">
      <v>612</v>
    </nc>
  </rcc>
  <rcc rId="8036" sId="1">
    <nc r="C735">
      <v>610</v>
    </nc>
  </rcc>
  <rcc rId="8037" sId="1">
    <nc r="C734">
      <v>600</v>
    </nc>
  </rcc>
  <rcc rId="8038" sId="1">
    <nc r="D735">
      <f>D736</f>
    </nc>
  </rcc>
  <rcc rId="8039" sId="1">
    <nc r="E735">
      <f>E736</f>
    </nc>
  </rcc>
  <rcc rId="8040" sId="1">
    <nc r="F735">
      <f>F736</f>
    </nc>
  </rcc>
  <rcc rId="8041" sId="1">
    <nc r="D734">
      <f>D735</f>
    </nc>
  </rcc>
  <rcc rId="8042" sId="1">
    <nc r="E734">
      <f>E735</f>
    </nc>
  </rcc>
  <rcc rId="8043" sId="1">
    <nc r="F734">
      <f>F735</f>
    </nc>
  </rcc>
  <rcc rId="8044" sId="1">
    <oc r="D730">
      <f>D731</f>
    </oc>
    <nc r="D730">
      <f>D731+D734</f>
    </nc>
  </rcc>
  <rcc rId="8045" sId="1">
    <oc r="E730">
      <f>E731</f>
    </oc>
    <nc r="E730">
      <f>E731+E734</f>
    </nc>
  </rcc>
  <rcc rId="8046" sId="1">
    <oc r="F730">
      <f>F731</f>
    </oc>
    <nc r="F730">
      <f>F731+F734</f>
    </nc>
  </rcc>
  <rcc rId="8047" sId="1">
    <nc r="B736" t="inlineStr">
      <is>
        <t>67 0 00 88890</t>
      </is>
    </nc>
  </rcc>
  <rcc rId="8048" sId="1">
    <nc r="B735" t="inlineStr">
      <is>
        <t>67 0 00 88890</t>
      </is>
    </nc>
  </rcc>
  <rcc rId="8049" sId="1">
    <nc r="B734" t="inlineStr">
      <is>
        <t>67 0 00 88890</t>
      </is>
    </nc>
  </rcc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0" sId="1">
    <nc r="A736" t="inlineStr">
      <is>
        <t>Субсидии бюджетным учреждениям на иные цели</t>
      </is>
    </nc>
  </rcc>
  <rcc rId="8051" sId="1">
    <nc r="A735" t="inlineStr">
      <is>
        <t>Субсидии бюджетным учреждениям</t>
      </is>
    </nc>
  </rcc>
  <rcc rId="8052" sId="1">
    <nc r="A734" t="inlineStr">
      <is>
        <t>Предоставление субсидий бюджетным, автономным учреждениям и иным некоммерческим организациям</t>
      </is>
    </nc>
  </rcc>
  <rcc rId="8053" sId="1">
    <nc r="D736">
      <f>15500+180844.69</f>
    </nc>
  </rcc>
  <rcc rId="8054" sId="1">
    <oc r="D742">
      <f>8000000-3853795.5</f>
    </oc>
    <nc r="D742">
      <f>8000000-3853795.5-279000-3255204.5</f>
    </nc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055" sId="1" ref="A741:XFD741" action="insertRow">
    <undo index="0" exp="area" ref3D="1" dr="$A$748:$XFD$748" dn="Z_D9B90A86_BE39_4FED_8226_084809D277F3_.wvu.Rows" sId="1"/>
  </rrc>
  <rrc rId="8056" sId="1" ref="A741:XFD741" action="insertRow">
    <undo index="0" exp="area" ref3D="1" dr="$A$749:$XFD$749" dn="Z_D9B90A86_BE39_4FED_8226_084809D277F3_.wvu.Rows" sId="1"/>
  </rrc>
  <rrc rId="8057" sId="1" ref="A741:XFD741" action="insertRow">
    <undo index="0" exp="area" ref3D="1" dr="$A$750:$XFD$750" dn="Z_D9B90A86_BE39_4FED_8226_084809D277F3_.wvu.Rows" sId="1"/>
  </rrc>
  <rcc rId="8058" sId="1">
    <nc r="C743">
      <v>612</v>
    </nc>
  </rcc>
  <rcc rId="8059" sId="1">
    <nc r="C742">
      <v>610</v>
    </nc>
  </rcc>
  <rcc rId="8060" sId="1">
    <nc r="C741">
      <v>600</v>
    </nc>
  </rcc>
  <rcc rId="8061" sId="1">
    <nc r="D742">
      <f>D743</f>
    </nc>
  </rcc>
  <rcc rId="8062" sId="1">
    <nc r="E742">
      <f>E743</f>
    </nc>
  </rcc>
  <rcc rId="8063" sId="1">
    <nc r="F742">
      <f>F743</f>
    </nc>
  </rcc>
  <rcc rId="8064" sId="1">
    <nc r="D741">
      <f>D742</f>
    </nc>
  </rcc>
  <rcc rId="8065" sId="1">
    <nc r="E741">
      <f>E742</f>
    </nc>
  </rcc>
  <rcc rId="8066" sId="1">
    <nc r="F741">
      <f>F742</f>
    </nc>
  </rcc>
  <rcc rId="8067" sId="1">
    <nc r="B743" t="inlineStr">
      <is>
        <t>67 0 00 Э8890</t>
      </is>
    </nc>
  </rcc>
  <rcc rId="8068" sId="1">
    <nc r="B742" t="inlineStr">
      <is>
        <t>67 0 00 Э8890</t>
      </is>
    </nc>
  </rcc>
  <rcc rId="8069" sId="1">
    <nc r="B741" t="inlineStr">
      <is>
        <t>67 0 00 Э8890</t>
      </is>
    </nc>
  </rcc>
  <rcc rId="8070" sId="1">
    <nc r="A743" t="inlineStr">
      <is>
        <t>Субсидии бюджетным учреждениям на иные цели</t>
      </is>
    </nc>
  </rcc>
  <rcc rId="8071" sId="1">
    <nc r="A742" t="inlineStr">
      <is>
        <t>Субсидии бюджетным учреждениям</t>
      </is>
    </nc>
  </rcc>
  <rcc rId="8072" sId="1">
    <nc r="A741" t="inlineStr">
      <is>
        <t>Предоставление субсидий бюджетным, автономным учреждениям и иным некоммерческим организациям</t>
      </is>
    </nc>
  </rcc>
  <rcc rId="8073" sId="1">
    <nc r="D743">
      <f>279000+3255204.5</f>
    </nc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4" sId="1">
    <oc r="D737">
      <f>D744+D738</f>
    </oc>
    <nc r="D737">
      <f>D744+D738+D741</f>
    </nc>
  </rcc>
  <rrc rId="8075" sId="1" ref="A750:XFD750" action="insertRow">
    <undo index="0" exp="area" ref3D="1" dr="$A$751:$XFD$751" dn="Z_D9B90A86_BE39_4FED_8226_084809D277F3_.wvu.Rows" sId="1"/>
  </rrc>
  <rrc rId="8076" sId="1" ref="A750:XFD750" action="insertRow">
    <undo index="0" exp="area" ref3D="1" dr="$A$752:$XFD$752" dn="Z_D9B90A86_BE39_4FED_8226_084809D277F3_.wvu.Rows" sId="1"/>
  </rrc>
  <rrc rId="8077" sId="1" ref="A750:XFD750" action="insertRow">
    <undo index="0" exp="area" ref3D="1" dr="$A$753:$XFD$753" dn="Z_D9B90A86_BE39_4FED_8226_084809D277F3_.wvu.Rows" sId="1"/>
  </rrc>
  <rcc rId="8078" sId="1">
    <nc r="C752">
      <v>612</v>
    </nc>
  </rcc>
  <rcc rId="8079" sId="1">
    <nc r="C751">
      <v>610</v>
    </nc>
  </rcc>
  <rcc rId="8080" sId="1">
    <nc r="C750">
      <v>600</v>
    </nc>
  </rcc>
  <rcc rId="8081" sId="1">
    <nc r="B750" t="inlineStr">
      <is>
        <t>67 0 00 S8890</t>
      </is>
    </nc>
  </rcc>
  <rcc rId="8082" sId="1">
    <nc r="B751" t="inlineStr">
      <is>
        <t>67 0 00 S8890</t>
      </is>
    </nc>
  </rcc>
  <rcc rId="8083" sId="1">
    <nc r="B752" t="inlineStr">
      <is>
        <t>67 0 00 S8890</t>
      </is>
    </nc>
  </rcc>
  <rcc rId="8084" sId="1">
    <nc r="D751">
      <f>D752</f>
    </nc>
  </rcc>
  <rcc rId="8085" sId="1" odxf="1" dxf="1">
    <nc r="E751">
      <f>E752</f>
    </nc>
    <odxf>
      <border outline="0">
        <left/>
      </border>
    </odxf>
    <ndxf>
      <border outline="0">
        <left style="thin">
          <color indexed="64"/>
        </left>
      </border>
    </ndxf>
  </rcc>
  <rcc rId="8086" sId="1" odxf="1" dxf="1">
    <nc r="F751">
      <f>F752</f>
    </nc>
    <odxf>
      <border outline="0">
        <left/>
      </border>
    </odxf>
    <ndxf>
      <border outline="0">
        <left style="thin">
          <color indexed="64"/>
        </left>
      </border>
    </ndxf>
  </rcc>
  <rcc rId="8087" sId="1">
    <nc r="D750">
      <f>D751</f>
    </nc>
  </rcc>
  <rcc rId="8088" sId="1" odxf="1" dxf="1">
    <nc r="E750">
      <f>E751</f>
    </nc>
    <odxf>
      <border outline="0">
        <left/>
      </border>
    </odxf>
    <ndxf>
      <border outline="0">
        <left style="thin">
          <color indexed="64"/>
        </left>
      </border>
    </ndxf>
  </rcc>
  <rcc rId="8089" sId="1" odxf="1" dxf="1">
    <nc r="F750">
      <f>F751</f>
    </nc>
    <odxf>
      <border outline="0">
        <left/>
      </border>
    </odxf>
    <ndxf>
      <border outline="0">
        <left style="thin">
          <color indexed="64"/>
        </left>
      </border>
    </ndxf>
  </rcc>
  <rcc rId="8090" sId="1">
    <oc r="D746">
      <f>D747</f>
    </oc>
    <nc r="D746">
      <f>D747+D750</f>
    </nc>
  </rcc>
  <rcc rId="8091" sId="1">
    <oc r="E746">
      <f>E747</f>
    </oc>
    <nc r="E746">
      <f>E747+E750</f>
    </nc>
  </rcc>
  <rcc rId="8092" sId="1">
    <oc r="F746">
      <f>F747</f>
    </oc>
    <nc r="F746">
      <f>F747+F750</f>
    </nc>
  </rcc>
  <rcc rId="8093" sId="1">
    <nc r="A752" t="inlineStr">
      <is>
        <t>Субсидии бюджетным учреждениям на иные цели</t>
      </is>
    </nc>
  </rcc>
  <rcc rId="8094" sId="1">
    <nc r="A751" t="inlineStr">
      <is>
        <t>Субсидии бюджетным учреждениям</t>
      </is>
    </nc>
  </rcc>
  <rcc rId="8095" sId="1">
    <nc r="A750" t="inlineStr">
      <is>
        <t>Предоставление субсидий бюджетным, автономным учреждениям и иным некоммерческим организациям</t>
      </is>
    </nc>
  </rcc>
  <rcc rId="8096" sId="1">
    <nc r="D752">
      <f>15500+180844.7</f>
    </nc>
  </rcc>
  <rcv guid="{D9B90A86-BE39-4FED-8226-084809D277F3}" action="delete"/>
  <rdn rId="0" localSheetId="1" customView="1" name="Z_D9B90A86_BE39_4FED_8226_084809D277F3_.wvu.PrintArea" hidden="1" oldHidden="1">
    <formula>'программы '!$A$1:$F$757</formula>
    <oldFormula>'программы '!$A$1:$F$757</oldFormula>
  </rdn>
  <rdn rId="0" localSheetId="1" customView="1" name="Z_D9B90A86_BE39_4FED_8226_084809D277F3_.wvu.Rows" hidden="1" oldHidden="1">
    <formula>'программы '!$754:$754</formula>
    <oldFormula>'программы '!$754:$754</oldFormula>
  </rdn>
  <rdn rId="0" localSheetId="1" customView="1" name="Z_D9B90A86_BE39_4FED_8226_084809D277F3_.wvu.FilterData" hidden="1" oldHidden="1">
    <formula>'программы '!$C$1:$C$763</formula>
    <oldFormula>'программы '!$C$1:$C$763</oldFormula>
  </rdn>
  <rcv guid="{D9B90A86-BE39-4FED-8226-084809D277F3}" action="add"/>
</revisions>
</file>

<file path=xl/revisions/revisionLog4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00" sId="1">
    <oc r="D736">
      <f>15500+180844.69</f>
    </oc>
    <nc r="D736">
      <f>15500+180844.69+20000</f>
    </nc>
  </rcc>
  <rcc rId="8101" sId="1">
    <oc r="D752">
      <f>15500+180844.7</f>
    </oc>
    <nc r="D752">
      <f>15500+180844.7+20000+14000</f>
    </nc>
  </rcc>
  <rcc rId="8102" sId="1">
    <oc r="D743">
      <f>279000+3255204.5</f>
    </oc>
    <nc r="D743">
      <f>279000+3255204.5+360000+252000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02:XFD804">
    <dxf>
      <fill>
        <patternFill patternType="solid">
          <bgColor theme="6" tint="0.59999389629810485"/>
        </patternFill>
      </fill>
    </dxf>
  </rfmt>
</revisions>
</file>

<file path=xl/revisions/revisionLog4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03" sId="1">
    <oc r="D745">
      <f>8000000-3853795.5-279000-3255204.5</f>
    </oc>
    <nc r="D745">
      <f>8000000-3853795.5-279000-3255204.5-612000</f>
    </nc>
  </rcc>
</revisions>
</file>

<file path=xl/revisions/revisionLog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04" sId="1">
    <oc r="D736">
      <f>15500+180844.69+20000</f>
    </oc>
    <nc r="D736">
      <f>15500+180844.69+20000+14000</f>
    </nc>
  </rcc>
</revisions>
</file>

<file path=xl/revisions/revisionLog4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05" sId="1">
    <oc r="D589">
      <f>5491817.59-40000+25802.14+1973398.97-408620-20000-21445.2-483400-175750</f>
    </oc>
    <nc r="D589">
      <f>5491817.59-40000+25802.14+1973398.97-408620-20000-21445.2-483400-175750-444444.45</f>
    </nc>
  </rcc>
</revisions>
</file>

<file path=xl/revisions/revisionLog4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06" sId="1" numFmtId="34">
    <oc r="D358">
      <v>1088600</v>
    </oc>
    <nc r="D358">
      <f>1088600-60000</f>
    </nc>
  </rcc>
  <rcc rId="8107" sId="1">
    <oc r="D350">
      <f>415161.41-51658.57</f>
    </oc>
    <nc r="D350">
      <f>415161.41-51658.57+35000</f>
    </nc>
  </rcc>
  <rcc rId="8108" sId="1">
    <oc r="D332">
      <f>329253+51658.57</f>
    </oc>
    <nc r="D332">
      <f>329253+51658.57+25000</f>
    </nc>
  </rcc>
</revisions>
</file>

<file path=xl/revisions/revisionLog4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09" sId="1" numFmtId="34">
    <oc r="D622">
      <v>808562.59</v>
    </oc>
    <nc r="D622">
      <f>808562.59+81960.29</f>
    </nc>
  </rcc>
</revisions>
</file>

<file path=xl/revisions/revisionLog4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10" sId="1">
    <oc r="D604">
      <f>583460-120000</f>
    </oc>
    <nc r="D604">
      <f>583460-120000+81960.29</f>
    </nc>
  </rcc>
</revisions>
</file>

<file path=xl/revisions/revisionLog4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11" sId="1" numFmtId="34">
    <oc r="D494">
      <v>2445692.7400000002</v>
    </oc>
    <nc r="D494">
      <f>2445692.74+244548.88</f>
    </nc>
  </rcc>
  <rcc rId="8112" sId="1" numFmtId="34">
    <oc r="D495">
      <v>738599.21</v>
    </oc>
    <nc r="D495">
      <f>738599.21+73853.76</f>
    </nc>
  </rcc>
  <rcv guid="{D9B90A86-BE39-4FED-8226-084809D277F3}" action="delete"/>
  <rdn rId="0" localSheetId="1" customView="1" name="Z_D9B90A86_BE39_4FED_8226_084809D277F3_.wvu.PrintArea" hidden="1" oldHidden="1">
    <formula>'программы '!$A$1:$F$757</formula>
    <oldFormula>'программы '!$A$1:$F$757</oldFormula>
  </rdn>
  <rdn rId="0" localSheetId="1" customView="1" name="Z_D9B90A86_BE39_4FED_8226_084809D277F3_.wvu.Rows" hidden="1" oldHidden="1">
    <formula>'программы '!$754:$754</formula>
    <oldFormula>'программы '!$754:$754</oldFormula>
  </rdn>
  <rdn rId="0" localSheetId="1" customView="1" name="Z_D9B90A86_BE39_4FED_8226_084809D277F3_.wvu.FilterData" hidden="1" oldHidden="1">
    <formula>'программы '!$C$1:$C$763</formula>
    <oldFormula>'программы '!$C$1:$C$763</oldFormula>
  </rdn>
  <rcv guid="{D9B90A86-BE39-4FED-8226-084809D277F3}" action="add"/>
</revisions>
</file>

<file path=xl/revisions/revisionLog4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16" sId="1" numFmtId="34">
    <oc r="D565">
      <v>92620498.310000002</v>
    </oc>
    <nc r="D565">
      <f>92620498.31+1221409.24</f>
    </nc>
  </rcc>
  <rcc rId="8117" sId="1" numFmtId="34">
    <oc r="D567">
      <v>27971390.5</v>
    </oc>
    <nc r="D567">
      <f>27971390.5+368865.56</f>
    </nc>
  </rcc>
</revisions>
</file>

<file path=xl/revisions/revisionLog4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18" sId="1" ref="A571:XFD571" action="insertRow">
    <undo index="0" exp="area" ref3D="1" dr="$A$754:$XFD$754" dn="Z_D9B90A86_BE39_4FED_8226_084809D277F3_.wvu.Rows" sId="1"/>
  </rrc>
  <rrc rId="8119" sId="1" ref="A571:XFD571" action="insertRow">
    <undo index="0" exp="area" ref3D="1" dr="$A$755:$XFD$755" dn="Z_D9B90A86_BE39_4FED_8226_084809D277F3_.wvu.Rows" sId="1"/>
  </rrc>
  <rrc rId="8120" sId="1" ref="A572:XFD572" action="insertRow">
    <undo index="0" exp="area" ref3D="1" dr="$A$756:$XFD$756" dn="Z_D9B90A86_BE39_4FED_8226_084809D277F3_.wvu.Rows" sId="1"/>
  </rrc>
  <rcc rId="8121" sId="1">
    <nc r="C573">
      <v>321</v>
    </nc>
  </rcc>
  <rcc rId="8122" sId="1">
    <nc r="C572">
      <v>320</v>
    </nc>
  </rcc>
  <rcc rId="8123" sId="1">
    <nc r="C571">
      <v>300</v>
    </nc>
  </rcc>
  <rcc rId="8124" sId="1">
    <nc r="D572">
      <f>D573</f>
    </nc>
  </rcc>
  <rcc rId="8125" sId="1">
    <nc r="E572">
      <f>E573</f>
    </nc>
  </rcc>
  <rcc rId="8126" sId="1">
    <nc r="F572">
      <f>F573</f>
    </nc>
  </rcc>
  <rcc rId="8127" sId="1">
    <nc r="D571">
      <f>D572</f>
    </nc>
  </rcc>
  <rcc rId="8128" sId="1">
    <nc r="E571">
      <f>E572</f>
    </nc>
  </rcc>
  <rcc rId="8129" sId="1">
    <nc r="F571">
      <f>F572</f>
    </nc>
  </rcc>
  <rcc rId="8130" sId="1">
    <nc r="A573" t="inlineStr">
      <is>
        <t>Пособия, компенсации и иные социальные выплаты гражданам, кроме публичных нормативных обязательств</t>
      </is>
    </nc>
  </rcc>
  <rcc rId="8131" sId="1">
    <nc r="A572" t="inlineStr">
      <is>
        <t>Социальные выплаты гражданам, кроме публичных нормативных социальных выплат</t>
      </is>
    </nc>
  </rcc>
  <rcc rId="8132" sId="1">
    <nc r="A571" t="inlineStr">
      <is>
        <t>Социальное обеспечение и иные выплаты населению</t>
      </is>
    </nc>
  </rcc>
  <rcc rId="8133" sId="1">
    <nc r="B571" t="inlineStr">
      <is>
        <t>54 1 00 80010</t>
      </is>
    </nc>
  </rcc>
  <rcc rId="8134" sId="1">
    <nc r="B572" t="inlineStr">
      <is>
        <t>54 1 00 80010</t>
      </is>
    </nc>
  </rcc>
  <rcc rId="8135" sId="1">
    <nc r="B573" t="inlineStr">
      <is>
        <t>54 1 00 80010</t>
      </is>
    </nc>
  </rcc>
  <rcc rId="8136" sId="1">
    <oc r="D562">
      <f>D563+D569+D574</f>
    </oc>
    <nc r="D562">
      <f>D563+D569+D574+D571</f>
    </nc>
  </rcc>
  <rcc rId="8137" sId="1">
    <oc r="E562">
      <f>E563+E569+E574</f>
    </oc>
    <nc r="E562">
      <f>E563+E569+E574+E571</f>
    </nc>
  </rcc>
  <rcc rId="8138" sId="1">
    <oc r="F562">
      <f>F563+F569+F574</f>
    </oc>
    <nc r="F562">
      <f>F563+F569+F574+F571</f>
    </nc>
  </rcc>
  <rcc rId="8139" sId="1" numFmtId="34">
    <nc r="D573">
      <v>246455.29</v>
    </nc>
  </rcc>
</revisions>
</file>

<file path=xl/revisions/revisionLog4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0" sId="1">
    <oc r="D592">
      <f>5491817.59-40000+25802.14+1973398.97-408620-20000-21445.2-483400-175750-444444.45</f>
    </oc>
    <nc r="D592">
      <f>5491817.59-40000+25802.14+1973398.97-408620-20000-21445.2-483400-175750-444444.45-318402.64-1836730.09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72" sId="1">
    <oc r="B71" t="inlineStr">
      <is>
        <t>03 2 00 R3032</t>
      </is>
    </oc>
    <nc r="B71" t="inlineStr">
      <is>
        <t>03 2 00 53032</t>
      </is>
    </nc>
  </rcc>
  <rcc rId="3373" sId="1">
    <oc r="B72" t="inlineStr">
      <is>
        <t>03 2 00 R3032</t>
      </is>
    </oc>
    <nc r="B72" t="inlineStr">
      <is>
        <t>03 2 00 53032</t>
      </is>
    </nc>
  </rcc>
  <rcc rId="3374" sId="1">
    <oc r="B73" t="inlineStr">
      <is>
        <t>03 2 00 R3032</t>
      </is>
    </oc>
    <nc r="B73" t="inlineStr">
      <is>
        <t>03 2 00 53032</t>
      </is>
    </nc>
  </rcc>
  <rcc rId="3375" sId="1">
    <oc r="B74" t="inlineStr">
      <is>
        <t>03 2 00 R3032</t>
      </is>
    </oc>
    <nc r="B74" t="inlineStr">
      <is>
        <t>03 2 00 53032</t>
      </is>
    </nc>
  </rcc>
  <rrc rId="3376" sId="1" ref="A75:XFD75" action="insertRow">
    <undo index="0" exp="area" ref3D="1" dr="$A$272:$XFD$276" dn="Z_D9B90A86_BE39_4FED_8226_084809D277F3_.wvu.Rows" sId="1"/>
    <undo index="0" exp="area" ref3D="1" dr="$A$272:$XFD$276" dn="Z_30E81E54_DD45_4653_9DCD_548F6723F554_.wvu.Rows" sId="1"/>
  </rrc>
  <rrc rId="3377" sId="1" ref="A75:XFD75" action="insertRow">
    <undo index="0" exp="area" ref3D="1" dr="$A$273:$XFD$277" dn="Z_D9B90A86_BE39_4FED_8226_084809D277F3_.wvu.Rows" sId="1"/>
    <undo index="0" exp="area" ref3D="1" dr="$A$273:$XFD$277" dn="Z_30E81E54_DD45_4653_9DCD_548F6723F554_.wvu.Rows" sId="1"/>
  </rrc>
  <rrc rId="3378" sId="1" ref="A75:XFD75" action="insertRow">
    <undo index="0" exp="area" ref3D="1" dr="$A$274:$XFD$278" dn="Z_D9B90A86_BE39_4FED_8226_084809D277F3_.wvu.Rows" sId="1"/>
    <undo index="0" exp="area" ref3D="1" dr="$A$274:$XFD$278" dn="Z_30E81E54_DD45_4653_9DCD_548F6723F554_.wvu.Rows" sId="1"/>
  </rrc>
  <rrc rId="3379" sId="1" ref="A75:XFD75" action="insertRow">
    <undo index="0" exp="area" ref3D="1" dr="$A$275:$XFD$279" dn="Z_D9B90A86_BE39_4FED_8226_084809D277F3_.wvu.Rows" sId="1"/>
    <undo index="0" exp="area" ref3D="1" dr="$A$275:$XFD$279" dn="Z_30E81E54_DD45_4653_9DCD_548F6723F554_.wvu.Rows" sId="1"/>
  </rrc>
  <rcc rId="3380" sId="1">
    <nc r="B75" t="inlineStr">
      <is>
        <t>03 2 00 R3032</t>
      </is>
    </nc>
  </rcc>
  <rcc rId="3381" sId="1" xfDxf="1" dxf="1">
    <nc r="B76" t="inlineStr">
      <is>
        <t>03 2 00 R3032</t>
      </is>
    </nc>
    <ndxf>
      <font>
        <name val="Times New Roman Cyr"/>
        <scheme val="none"/>
      </font>
      <fill>
        <patternFill patternType="solid">
          <bgColor theme="6" tint="0.59999389629810485"/>
        </patternFill>
      </fill>
      <alignment horizontal="center" readingOrder="0"/>
      <border outline="0">
        <top style="thin">
          <color indexed="64"/>
        </top>
        <bottom style="thin">
          <color indexed="64"/>
        </bottom>
      </border>
    </ndxf>
  </rcc>
  <rcc rId="3382" sId="1" xfDxf="1" dxf="1">
    <nc r="B77" t="inlineStr">
      <is>
        <t>03 2 00 R3032</t>
      </is>
    </nc>
    <ndxf>
      <font>
        <name val="Times New Roman Cyr"/>
        <scheme val="none"/>
      </font>
      <fill>
        <patternFill patternType="solid">
          <bgColor theme="6" tint="0.59999389629810485"/>
        </patternFill>
      </fill>
      <alignment horizontal="center" readingOrder="0"/>
      <border outline="0">
        <top style="thin">
          <color indexed="64"/>
        </top>
        <bottom style="thin">
          <color indexed="64"/>
        </bottom>
      </border>
    </ndxf>
  </rcc>
  <rcc rId="3383" sId="1" xfDxf="1" dxf="1">
    <nc r="B78" t="inlineStr">
      <is>
        <t>03 2 00 R3032</t>
      </is>
    </nc>
    <ndxf>
      <font>
        <name val="Times New Roman Cyr"/>
        <scheme val="none"/>
      </font>
      <fill>
        <patternFill patternType="solid">
          <bgColor theme="6" tint="0.59999389629810485"/>
        </patternFill>
      </fill>
      <alignment horizontal="center" readingOrder="0"/>
      <border outline="0">
        <top style="thin">
          <color indexed="64"/>
        </top>
        <bottom style="thin">
          <color indexed="64"/>
        </bottom>
      </border>
    </ndxf>
  </rcc>
  <rcc rId="3384" sId="1">
    <nc r="C78">
      <v>612</v>
    </nc>
  </rcc>
  <rcc rId="3385" sId="1">
    <nc r="C77">
      <v>610</v>
    </nc>
  </rcc>
  <rcc rId="3386" sId="1">
    <nc r="C76">
      <v>600</v>
    </nc>
  </rcc>
  <rcc rId="3387" sId="1" xfDxf="1" dxf="1">
    <nc r="A75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    </is>
    </nc>
    <ndxf>
      <font>
        <name val="Times New Roman Cyr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388" sId="1" xfDxf="1" dxf="1">
    <nc r="A76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 Cyr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389" sId="1" xfDxf="1" dxf="1">
    <nc r="A77" t="inlineStr">
      <is>
        <t>Субсидии бюджетным учреждениям</t>
      </is>
    </nc>
    <ndxf>
      <font>
        <name val="Times New Roman Cyr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390" sId="1" xfDxf="1" dxf="1">
    <nc r="A78" t="inlineStr">
      <is>
        <t>Субсидии бюджетным учреждениям на  иные цели</t>
      </is>
    </nc>
    <ndxf>
      <font>
        <name val="Times New Roman Cyr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391" sId="1">
    <nc r="D77">
      <f>D78</f>
    </nc>
  </rcc>
  <rcc rId="3392" sId="1">
    <nc r="E77">
      <f>E78</f>
    </nc>
  </rcc>
  <rcc rId="3393" sId="1">
    <nc r="F77">
      <f>F78</f>
    </nc>
  </rcc>
  <rcc rId="3394" sId="1">
    <nc r="D75">
      <f>D76</f>
    </nc>
  </rcc>
  <rcc rId="3395" sId="1">
    <nc r="E75">
      <f>E76</f>
    </nc>
  </rcc>
  <rcc rId="3396" sId="1">
    <nc r="F75">
      <f>F76</f>
    </nc>
  </rcc>
  <rcc rId="3397" sId="1">
    <nc r="D76">
      <f>D77</f>
    </nc>
  </rcc>
  <rcc rId="3398" sId="1">
    <nc r="E76">
      <f>E77</f>
    </nc>
  </rcc>
  <rcc rId="3399" sId="1">
    <nc r="F76">
      <f>F77</f>
    </nc>
  </rcc>
  <rcc rId="3400" sId="1">
    <oc r="D70">
      <f>D79+D83+D95+D100+D111+D150+D154+D158+D71+D115+D123+D136+D127+D119+D91+D107+D145+D87</f>
    </oc>
    <nc r="D70">
      <f>D79+D83+D95+D100+D111+D150+D154+D158+D71+D115+D123+D136+D127+D119+D91+D107+D145+D87+D75</f>
    </nc>
  </rcc>
  <rcc rId="3401" sId="1">
    <oc r="E70">
      <f>E79+E83+E95+E100+E111+E150+E154+E158+E71+E115+E123+E136+E127+E119+E91+E107+E145+E87</f>
    </oc>
    <nc r="E70">
      <f>E79+E83+E95+E100+E111+E150+E154+E158+E71+E115+E123+E136+E127+E119+E91+E107+E145+E87+E75</f>
    </nc>
  </rcc>
  <rcc rId="3402" sId="1">
    <oc r="F70">
      <f>F79+F83+F95+F100+F111+F150+F154+F158+F71+F115+F123+F136+F127+F119+F91+F107+F145+F87</f>
    </oc>
    <nc r="F70">
      <f>F79+F83+F95+F100+F111+F150+F154+F158+F71+F115+F123+F136+F127+F119+F91+F107+F145+F87+F75</f>
    </nc>
  </rcc>
  <rfmt sheetId="1" sqref="B71:B74">
    <dxf>
      <fill>
        <patternFill>
          <bgColor theme="0"/>
        </patternFill>
      </fill>
    </dxf>
  </rfmt>
  <rcc rId="3403" sId="1">
    <oc r="B353" t="inlineStr">
      <is>
        <t>10 1 00 L576Л</t>
      </is>
    </oc>
    <nc r="B353" t="inlineStr">
      <is>
        <t>10 1 00 L5760</t>
      </is>
    </nc>
  </rcc>
  <rcc rId="3404" sId="1">
    <oc r="B355" t="inlineStr">
      <is>
        <t>10 1 00 L576Л</t>
      </is>
    </oc>
    <nc r="B355" t="inlineStr">
      <is>
        <t>10 1 00 L5760</t>
      </is>
    </nc>
  </rcc>
  <rcc rId="3405" sId="1">
    <oc r="B354" t="inlineStr">
      <is>
        <t>10 1 00 L576Л</t>
      </is>
    </oc>
    <nc r="B354" t="inlineStr">
      <is>
        <t>10 1 00 L5760</t>
      </is>
    </nc>
  </rcc>
  <rcc rId="3406" sId="1">
    <oc r="B356" t="inlineStr">
      <is>
        <t>10 1 00 L576Л</t>
      </is>
    </oc>
    <nc r="B356" t="inlineStr">
      <is>
        <t>10 1 00 L5760</t>
      </is>
    </nc>
  </rcc>
  <rfmt sheetId="1" sqref="B353:B356">
    <dxf>
      <fill>
        <patternFill>
          <bgColor theme="0"/>
        </patternFill>
      </fill>
    </dxf>
  </rfmt>
  <rrc rId="3407" sId="1" ref="A357:XFD357" action="insertRow"/>
  <rrc rId="3408" sId="1" ref="A357:XFD357" action="insertRow"/>
  <rrc rId="3409" sId="1" ref="A357:XFD357" action="insertRow"/>
  <rrc rId="3410" sId="1" ref="A357:XFD357" action="insertRow"/>
  <rcc rId="3411" sId="1" xfDxf="1" dxf="1">
    <nc r="A357" t="inlineStr">
      <is>
        <t>Реализация мероприятий по устойчивому развитию сельских территорий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412" sId="1" xfDxf="1" dxf="1">
    <nc r="A358" t="inlineStr">
      <is>
        <t>Социальное обеспечение и иные выплаты населению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357">
    <dxf>
      <alignment wrapText="1" readingOrder="0"/>
    </dxf>
  </rfmt>
  <rcc rId="3413" sId="1" xfDxf="1" dxf="1">
    <nc r="A359" t="inlineStr">
      <is>
        <t>Социальные выплаты гражданам, кроме публичных нормативных социальных выплат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359">
    <dxf>
      <alignment wrapText="1" readingOrder="0"/>
    </dxf>
  </rfmt>
  <rcc rId="3414" sId="1" xfDxf="1" dxf="1">
    <nc r="A360" t="inlineStr">
      <is>
        <t>Субсидии гражданам на приобретение жилья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415" sId="1">
    <nc r="B357" t="inlineStr">
      <is>
        <t>10 1 00L576Л</t>
      </is>
    </nc>
  </rcc>
  <rcc rId="3416" sId="1">
    <nc r="B358" t="inlineStr">
      <is>
        <t>10 1 00L576Л</t>
      </is>
    </nc>
  </rcc>
  <rcc rId="3417" sId="1">
    <nc r="B359" t="inlineStr">
      <is>
        <t>10 1 00L576Л</t>
      </is>
    </nc>
  </rcc>
  <rcc rId="3418" sId="1">
    <nc r="B360" t="inlineStr">
      <is>
        <t>10 1 00L576Л</t>
      </is>
    </nc>
  </rcc>
  <rcc rId="3419" sId="1" numFmtId="34">
    <nc r="C360">
      <v>322</v>
    </nc>
  </rcc>
  <rcc rId="3420" sId="1" numFmtId="34">
    <nc r="C359">
      <v>320</v>
    </nc>
  </rcc>
  <rcc rId="3421" sId="1" numFmtId="34">
    <nc r="C358">
      <v>300</v>
    </nc>
  </rcc>
  <rcc rId="3422" sId="1">
    <nc r="D359">
      <f>D360</f>
    </nc>
  </rcc>
  <rcc rId="3423" sId="1">
    <nc r="E359">
      <f>E360</f>
    </nc>
  </rcc>
  <rcc rId="3424" sId="1">
    <nc r="F359">
      <f>F360</f>
    </nc>
  </rcc>
  <rcc rId="3425" sId="1">
    <nc r="D357">
      <f>D358</f>
    </nc>
  </rcc>
  <rcc rId="3426" sId="1">
    <nc r="E357">
      <f>E358</f>
    </nc>
  </rcc>
  <rcc rId="3427" sId="1">
    <nc r="F357">
      <f>F358</f>
    </nc>
  </rcc>
  <rcc rId="3428" sId="1">
    <nc r="D358">
      <f>D359</f>
    </nc>
  </rcc>
  <rcc rId="3429" sId="1">
    <nc r="E358">
      <f>E359</f>
    </nc>
  </rcc>
  <rcc rId="3430" sId="1">
    <nc r="F358">
      <f>F359</f>
    </nc>
  </rcc>
  <rcc rId="3431" sId="1">
    <oc r="D352">
      <f>D353</f>
    </oc>
    <nc r="D352">
      <f>D353+D357</f>
    </nc>
  </rcc>
  <rcc rId="3432" sId="1">
    <oc r="E352">
      <f>E353</f>
    </oc>
    <nc r="E352">
      <f>E353+E357</f>
    </nc>
  </rcc>
  <rcc rId="3433" sId="1">
    <oc r="F352">
      <f>F353</f>
    </oc>
    <nc r="F352">
      <f>F353+F357</f>
    </nc>
  </rcc>
  <rcc rId="3434" sId="1">
    <oc r="D351">
      <f>D353</f>
    </oc>
    <nc r="D351">
      <f>D352</f>
    </nc>
  </rcc>
  <rcc rId="3435" sId="1">
    <oc r="E351">
      <f>E353</f>
    </oc>
    <nc r="E351">
      <f>E352</f>
    </nc>
  </rcc>
  <rcc rId="3436" sId="1">
    <oc r="F351">
      <f>F353</f>
    </oc>
    <nc r="F351">
      <f>F352</f>
    </nc>
  </rcc>
  <rfmt sheetId="1" sqref="B357:B360">
    <dxf>
      <fill>
        <patternFill>
          <bgColor theme="6" tint="0.59999389629810485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'!$A$1:$F$831</formula>
    <oldFormula>'программы '!$A$1:$F$831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'!$A$1:$A$844</formula>
    <oldFormula>'программы '!$A$1:$A$844</oldFormula>
  </rdn>
  <rcv guid="{D9B90A86-BE39-4FED-8226-084809D277F3}" action="add"/>
</revisions>
</file>

<file path=xl/revisions/revisionLog4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1" sId="1">
    <oc r="D592">
      <f>5491817.59-40000+25802.14+1973398.97-408620-20000-21445.2-483400-175750-444444.45-318402.64-1836730.09</f>
    </oc>
    <nc r="D592">
      <f>5491817.59-40000+25802.14+1973398.97-408620-20000-21445.2-483400-175750-355000-444444.45-318402.64-1836730.09</f>
    </nc>
  </rcc>
</revisions>
</file>

<file path=xl/revisions/revisionLog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2" sId="1">
    <oc r="D650">
      <f>160205+590000-402646.77</f>
    </oc>
    <nc r="D650">
      <f>160205+590000-402646.77+402646.77</f>
    </nc>
  </rcc>
  <rcc rId="8143" sId="1">
    <oc r="D592">
      <f>5491817.59-40000+25802.14+1973398.97-408620-20000-21445.2-483400-175750-355000-444444.45-318402.64-1836730.09</f>
    </oc>
    <nc r="D592">
      <f>5491817.59-40000+25802.14+1973398.97-408620-20000-21445.2-483400-175750-355000-444444.45-318402.64-1836730.09-402646.77</f>
    </nc>
  </rcc>
  <rcc rId="8144" sId="1" numFmtId="34">
    <oc r="D612">
      <v>2399185.14</v>
    </oc>
    <nc r="D612">
      <f>2399185.14-582121.89</f>
    </nc>
  </rcc>
  <rcc rId="8145" sId="1" numFmtId="34">
    <oc r="D639">
      <v>2019988</v>
    </oc>
    <nc r="D639">
      <f>2019988+582121.89</f>
    </nc>
  </rcc>
  <rcc rId="8146" sId="1">
    <oc r="B637" t="inlineStr">
      <is>
        <t>59 10 00 83642</t>
      </is>
    </oc>
    <nc r="B637" t="inlineStr">
      <is>
        <t>59 0 00 83642</t>
      </is>
    </nc>
  </rcc>
</revisions>
</file>

<file path=xl/revisions/revisionLog4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7" sId="1">
    <oc r="D607">
      <f>583460-120000+81960.29</f>
    </oc>
    <nc r="D607">
      <f>583460-120000-81960.29</f>
    </nc>
  </rcc>
</revisions>
</file>

<file path=xl/revisions/revisionLog4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8" sId="1" numFmtId="34">
    <oc r="D626">
      <v>1364080.87</v>
    </oc>
    <nc r="D626">
      <f>1364080.87+81960.29</f>
    </nc>
  </rcc>
  <rcc rId="8149" sId="1">
    <oc r="D625">
      <f>808562.59+81960.29</f>
    </oc>
    <nc r="D625">
      <f>808562.59</f>
    </nc>
  </rcc>
  <rcc rId="8150" sId="1">
    <oc r="D635">
      <f>D636</f>
    </oc>
    <nc r="D635">
      <f>D636</f>
    </nc>
  </rcc>
  <rcc rId="8151" sId="1" numFmtId="34">
    <oc r="D252">
      <v>1493907.33</v>
    </oc>
    <nc r="D252">
      <f>1493907.33+95000</f>
    </nc>
  </rcc>
</revisions>
</file>

<file path=xl/revisions/revisionLog4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E81E54-DD45-4653-9DCD-548F6723F554}" action="delete"/>
  <rdn rId="0" localSheetId="1" customView="1" name="Z_30E81E54_DD45_4653_9DCD_548F6723F554_.wvu.PrintArea" hidden="1" oldHidden="1">
    <formula>'программы '!$A$1:$F$758</formula>
    <oldFormula>'программы '!$A$1:$F$758</oldFormula>
  </rdn>
  <rdn rId="0" localSheetId="1" customView="1" name="Z_30E81E54_DD45_4653_9DCD_548F6723F554_.wvu.Rows" hidden="1" oldHidden="1">
    <formula>'программы '!$258:$262</formula>
    <oldFormula>'программы '!$258:$262</oldFormula>
  </rdn>
  <rdn rId="0" localSheetId="1" customView="1" name="Z_30E81E54_DD45_4653_9DCD_548F6723F554_.wvu.FilterData" hidden="1" oldHidden="1">
    <formula>'программы '!$C$1:$C$766</formula>
    <oldFormula>'программы '!$C$1:$C$766</oldFormula>
  </rdn>
  <rcv guid="{30E81E54-DD45-4653-9DCD-548F6723F554}" action="add"/>
</revisions>
</file>

<file path=xl/revisions/revisionLog4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:F758">
    <dxf>
      <fill>
        <patternFill>
          <bgColor theme="0"/>
        </patternFill>
      </fill>
    </dxf>
  </rfmt>
</revisions>
</file>

<file path=xl/revisions/revisionLog4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3" sId="1">
    <oc r="F4" t="inlineStr">
      <is>
        <t xml:space="preserve">от                  апреля  2025 года №   </t>
      </is>
    </oc>
    <nc r="F4" t="inlineStr">
      <is>
        <t>от 29 апреля 2025 года № 256</t>
      </is>
    </nc>
  </rcc>
  <rcv guid="{30E81E54-DD45-4653-9DCD-548F6723F554}" action="delete"/>
  <rdn rId="0" localSheetId="1" customView="1" name="Z_30E81E54_DD45_4653_9DCD_548F6723F554_.wvu.PrintArea" hidden="1" oldHidden="1">
    <formula>'программы '!$A$1:$F$758</formula>
    <oldFormula>'программы '!$A$1:$F$758</oldFormula>
  </rdn>
  <rdn rId="0" localSheetId="1" customView="1" name="Z_30E81E54_DD45_4653_9DCD_548F6723F554_.wvu.Rows" hidden="1" oldHidden="1">
    <formula>'программы '!$258:$262</formula>
    <oldFormula>'программы '!$258:$262</oldFormula>
  </rdn>
  <rdn rId="0" localSheetId="1" customView="1" name="Z_30E81E54_DD45_4653_9DCD_548F6723F554_.wvu.FilterData" hidden="1" oldHidden="1">
    <formula>'программы '!$C$1:$C$766</formula>
    <oldFormula>'программы '!$C$1:$C$766</oldFormula>
  </rdn>
  <rcv guid="{30E81E54-DD45-4653-9DCD-548F6723F554}" action="add"/>
</revisions>
</file>

<file path=xl/revisions/revisionLog4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E81E54-DD45-4653-9DCD-548F6723F554}" action="delete"/>
  <rdn rId="0" localSheetId="1" customView="1" name="Z_30E81E54_DD45_4653_9DCD_548F6723F554_.wvu.PrintArea" hidden="1" oldHidden="1">
    <formula>'программы '!$A$1:$F$758</formula>
    <oldFormula>'программы '!$A$1:$F$758</oldFormula>
  </rdn>
  <rdn rId="0" localSheetId="1" customView="1" name="Z_30E81E54_DD45_4653_9DCD_548F6723F554_.wvu.Rows" hidden="1" oldHidden="1">
    <formula>'программы '!$258:$262</formula>
    <oldFormula>'программы '!$258:$262</oldFormula>
  </rdn>
  <rdn rId="0" localSheetId="1" customView="1" name="Z_30E81E54_DD45_4653_9DCD_548F6723F554_.wvu.FilterData" hidden="1" oldHidden="1">
    <formula>'программы '!$C$1:$C$766</formula>
    <oldFormula>'программы '!$C$1:$C$766</oldFormula>
  </rdn>
  <rcv guid="{30E81E54-DD45-4653-9DCD-548F6723F554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0" sId="1">
    <oc r="B431" t="inlineStr">
      <is>
        <t>13 0 00 L4971</t>
      </is>
    </oc>
    <nc r="B431" t="inlineStr">
      <is>
        <t>13 0 00 L4970</t>
      </is>
    </nc>
  </rcc>
  <rcc rId="3441" sId="1">
    <oc r="B432" t="inlineStr">
      <is>
        <t>13 0 00 L4971</t>
      </is>
    </oc>
    <nc r="B432" t="inlineStr">
      <is>
        <t>13 0 00 L4970</t>
      </is>
    </nc>
  </rcc>
  <rcc rId="3442" sId="1">
    <oc r="B433" t="inlineStr">
      <is>
        <t>13 0 00 L4971</t>
      </is>
    </oc>
    <nc r="B433" t="inlineStr">
      <is>
        <t>13 0 00 L4970</t>
      </is>
    </nc>
  </rcc>
  <rcc rId="3443" sId="1">
    <oc r="B434" t="inlineStr">
      <is>
        <t>13 0 00 L4971</t>
      </is>
    </oc>
    <nc r="B434" t="inlineStr">
      <is>
        <t>13 0 00 L4970</t>
      </is>
    </nc>
  </rcc>
  <rrc rId="3444" sId="1" ref="A435:XFD435" action="insertRow"/>
  <rrc rId="3445" sId="1" ref="A435:XFD435" action="insertRow"/>
  <rrc rId="3446" sId="1" ref="A435:XFD435" action="insertRow"/>
  <rrc rId="3447" sId="1" ref="A435:XFD435" action="insertRow"/>
  <rcc rId="3448" sId="1" xfDxf="1" dxf="1">
    <oc r="A431" t="inlineStr">
      <is>
        <t>Социальные выплаты, связанные с приобретением, строительством жилья</t>
      </is>
    </oc>
    <nc r="A431" t="inlineStr">
      <is>
        <t>Реализация мероприятий по обеспечению жильем молодых семей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449" sId="1" xfDxf="1" dxf="1">
    <nc r="A435" t="inlineStr">
      <is>
        <t>Реализация мероприятий по обеспечению жильем молодых семей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435">
    <dxf>
      <alignment wrapText="1" readingOrder="0"/>
    </dxf>
  </rfmt>
  <rcc rId="3450" sId="1" numFmtId="34">
    <nc r="C438">
      <v>322</v>
    </nc>
  </rcc>
  <rcc rId="3451" sId="1" numFmtId="34">
    <nc r="C437">
      <v>320</v>
    </nc>
  </rcc>
  <rcc rId="3452" sId="1" numFmtId="34">
    <nc r="C436">
      <v>300</v>
    </nc>
  </rcc>
  <rcc rId="3453" sId="1" xfDxf="1" dxf="1">
    <nc r="A436" t="inlineStr">
      <is>
        <t>Социальное обеспечение и иные выплаты населению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454" sId="1" xfDxf="1" dxf="1">
    <nc r="A437" t="inlineStr">
      <is>
        <t xml:space="preserve">Социальные выплаты гражданам, кроме публичных нормативных социальных выплат </t>
      </is>
    </nc>
    <n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437:A438">
    <dxf>
      <alignment wrapText="1" readingOrder="0"/>
    </dxf>
  </rfmt>
  <rcc rId="3455" sId="1" xfDxf="1" dxf="1">
    <nc r="A438" t="inlineStr">
      <is>
        <t>Субсидии гражданам на приобретение жилья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xfDxf="1" sqref="B435" start="0" length="0">
    <dxf>
      <font>
        <name val="Times New Roman"/>
        <scheme val="none"/>
      </font>
      <numFmt numFmtId="30" formatCode="@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456" sId="1">
    <nc r="B435" t="inlineStr">
      <is>
        <t>13 0 00 L4971</t>
      </is>
    </nc>
  </rcc>
  <rcc rId="3457" sId="1" xfDxf="1" dxf="1">
    <nc r="B436" t="inlineStr">
      <is>
        <t>13 0 00 L4971</t>
      </is>
    </nc>
    <ndxf>
      <font>
        <name val="Times New Roman"/>
        <scheme val="none"/>
      </font>
      <numFmt numFmtId="30" formatCode="@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458" sId="1" xfDxf="1" dxf="1">
    <nc r="B437" t="inlineStr">
      <is>
        <t>13 0 00 L4971</t>
      </is>
    </nc>
    <ndxf>
      <font>
        <name val="Times New Roman"/>
        <scheme val="none"/>
      </font>
      <numFmt numFmtId="30" formatCode="@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459" sId="1" xfDxf="1" dxf="1">
    <nc r="B438" t="inlineStr">
      <is>
        <t>13 0 00 L4971</t>
      </is>
    </nc>
    <ndxf>
      <font>
        <name val="Times New Roman"/>
        <scheme val="none"/>
      </font>
      <numFmt numFmtId="30" formatCode="@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'!$A$1:$F$835</formula>
    <oldFormula>'программы '!$A$1:$F$835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'!$A$1:$A$848</formula>
    <oldFormula>'программы '!$A$1:$A$848</oldFormula>
  </rdn>
  <rcv guid="{D9B90A86-BE39-4FED-8226-084809D277F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431:B434">
    <dxf>
      <fill>
        <patternFill>
          <bgColor theme="0"/>
        </patternFill>
      </fill>
    </dxf>
  </rfmt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63" sId="1">
    <nc r="D437">
      <f>D438</f>
    </nc>
  </rcc>
  <rcc rId="3464" sId="1">
    <nc r="E437">
      <f>E438</f>
    </nc>
  </rcc>
  <rcc rId="3465" sId="1">
    <nc r="F437">
      <f>F438</f>
    </nc>
  </rcc>
  <rcc rId="3466" sId="1">
    <nc r="D435">
      <f>D436</f>
    </nc>
  </rcc>
  <rcc rId="3467" sId="1">
    <nc r="E435">
      <f>E436</f>
    </nc>
  </rcc>
  <rcc rId="3468" sId="1">
    <nc r="F435">
      <f>F436</f>
    </nc>
  </rcc>
  <rcc rId="3469" sId="1">
    <nc r="D436">
      <f>D437</f>
    </nc>
  </rcc>
  <rcc rId="3470" sId="1">
    <nc r="E436">
      <f>E437</f>
    </nc>
  </rcc>
  <rcc rId="3471" sId="1">
    <nc r="F436">
      <f>F437</f>
    </nc>
  </rcc>
  <rcc rId="3472" sId="1">
    <oc r="D430">
      <f>D431</f>
    </oc>
    <nc r="D430">
      <f>D431+D435</f>
    </nc>
  </rcc>
  <rcc rId="3473" sId="1">
    <oc r="E430">
      <f>E431</f>
    </oc>
    <nc r="E430">
      <f>E431+E435</f>
    </nc>
  </rcc>
  <rcc rId="3474" sId="1">
    <oc r="F430">
      <f>F431</f>
    </oc>
    <nc r="F430">
      <f>F431+F435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5" sId="1">
    <oc r="B482" t="inlineStr">
      <is>
        <t>17 0 F2 55551</t>
      </is>
    </oc>
    <nc r="B482" t="inlineStr">
      <is>
        <t>17 0 F2 55550</t>
      </is>
    </nc>
  </rcc>
  <rcc rId="3476" sId="1">
    <oc r="B483" t="inlineStr">
      <is>
        <t>17 0 F2 55551</t>
      </is>
    </oc>
    <nc r="B483" t="inlineStr">
      <is>
        <t>17 0 F2 55550</t>
      </is>
    </nc>
  </rcc>
  <rcc rId="3477" sId="1">
    <oc r="B484" t="inlineStr">
      <is>
        <t>17 0 F2 55551</t>
      </is>
    </oc>
    <nc r="B484" t="inlineStr">
      <is>
        <t>17 0 F2 55550</t>
      </is>
    </nc>
  </rcc>
  <rcc rId="3478" sId="1">
    <oc r="B485" t="inlineStr">
      <is>
        <t>17 0 F2 55551</t>
      </is>
    </oc>
    <nc r="B485" t="inlineStr">
      <is>
        <t>17 0 F2 55550</t>
      </is>
    </nc>
  </rcc>
  <rrc rId="3479" sId="1" ref="A486:XFD486" action="insertRow"/>
  <rrc rId="3480" sId="1" ref="A486:XFD486" action="insertRow"/>
  <rrc rId="3481" sId="1" ref="A486:XFD486" action="insertRow"/>
  <rrc rId="3482" sId="1" ref="A486:XFD486" action="insertRow"/>
  <rfmt sheetId="1" xfDxf="1" sqref="B486" start="0" length="0">
    <dxf>
      <font>
        <name val="Times New Roman"/>
        <scheme val="none"/>
      </font>
      <numFmt numFmtId="164" formatCode="_-* #,##0.00_р_._-;\-* #,##0.00_р_._-;_-* &quot;-&quot;??_р_._-;_-@_-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xfDxf="1" sqref="B487" start="0" length="0">
    <dxf>
      <font>
        <name val="Times New Roman"/>
        <scheme val="none"/>
      </font>
      <numFmt numFmtId="164" formatCode="_-* #,##0.00_р_._-;\-* #,##0.00_р_._-;_-* &quot;-&quot;??_р_._-;_-@_-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xfDxf="1" sqref="B488" start="0" length="0">
    <dxf>
      <font>
        <name val="Times New Roman"/>
        <scheme val="none"/>
      </font>
      <numFmt numFmtId="164" formatCode="_-* #,##0.00_р_._-;\-* #,##0.00_р_._-;_-* &quot;-&quot;??_р_._-;_-@_-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xfDxf="1" sqref="B489" start="0" length="0">
    <dxf>
      <font>
        <name val="Times New Roman"/>
        <scheme val="none"/>
      </font>
      <numFmt numFmtId="164" formatCode="_-* #,##0.00_р_._-;\-* #,##0.00_р_._-;_-* &quot;-&quot;??_р_._-;_-@_-"/>
      <fill>
        <patternFill patternType="solid">
          <bgColor theme="6" tint="0.5999938962981048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3483" sId="1">
    <nc r="B486" t="inlineStr">
      <is>
        <t>17 0 F2 55551</t>
      </is>
    </nc>
  </rcc>
  <rcc rId="3484" sId="1">
    <nc r="B487" t="inlineStr">
      <is>
        <t>17 0 F2 55551</t>
      </is>
    </nc>
  </rcc>
  <rcc rId="3485" sId="1">
    <nc r="B488" t="inlineStr">
      <is>
        <t>17 0 F2 55551</t>
      </is>
    </nc>
  </rcc>
  <rcc rId="3486" sId="1">
    <nc r="B489" t="inlineStr">
      <is>
        <t>17 0 F2 55551</t>
      </is>
    </nc>
  </rcc>
  <rcc rId="3487" sId="1" numFmtId="34">
    <nc r="C489">
      <v>244</v>
    </nc>
  </rcc>
  <rcc rId="3488" sId="1" numFmtId="34">
    <nc r="C488">
      <v>240</v>
    </nc>
  </rcc>
  <rcc rId="3489" sId="1" numFmtId="34">
    <nc r="C487">
      <v>200</v>
    </nc>
  </rcc>
  <rcc rId="3490" sId="1" xfDxf="1" dxf="1">
    <nc r="A489" t="inlineStr">
      <is>
        <t xml:space="preserve">Прочая закупка товаров, работ и услуг 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491" sId="1" xfDxf="1" dxf="1">
    <nc r="A488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492" sId="1" xfDxf="1" dxf="1">
    <nc r="A487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493" sId="1" xfDxf="1" dxf="1">
    <nc r="A486" t="inlineStr">
      <is>
        <t>Поддержка государственных программ  формирования современной городской среды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486:XFD489">
    <dxf>
      <fill>
        <patternFill>
          <bgColor theme="6" tint="0.59999389629810485"/>
        </patternFill>
      </fill>
    </dxf>
  </rfmt>
  <rfmt sheetId="1" sqref="B482:B485">
    <dxf>
      <fill>
        <patternFill>
          <bgColor theme="0"/>
        </patternFill>
      </fill>
    </dxf>
  </rfmt>
  <rcc rId="3494" sId="1">
    <nc r="D488">
      <f>D489</f>
    </nc>
  </rcc>
  <rcc rId="3495" sId="1">
    <nc r="E488">
      <f>E489</f>
    </nc>
  </rcc>
  <rcc rId="3496" sId="1">
    <nc r="F488">
      <f>F489</f>
    </nc>
  </rcc>
  <rcc rId="3497" sId="1">
    <nc r="D486">
      <f>D487</f>
    </nc>
  </rcc>
  <rcc rId="3498" sId="1">
    <nc r="E486">
      <f>E487</f>
    </nc>
  </rcc>
  <rcc rId="3499" sId="1">
    <nc r="F486">
      <f>F487</f>
    </nc>
  </rcc>
  <rcc rId="3500" sId="1">
    <nc r="D487">
      <f>D488</f>
    </nc>
  </rcc>
  <rcc rId="3501" sId="1">
    <nc r="E487">
      <f>E488</f>
    </nc>
  </rcc>
  <rcc rId="3502" sId="1">
    <nc r="F487">
      <f>F488</f>
    </nc>
  </rcc>
  <rcc rId="3503" sId="1">
    <oc r="D481">
      <f>D482</f>
    </oc>
    <nc r="D481">
      <f>D482+D486</f>
    </nc>
  </rcc>
  <rcc rId="3504" sId="1">
    <oc r="E481">
      <f>E482</f>
    </oc>
    <nc r="E481">
      <f>E482+E486</f>
    </nc>
  </rcc>
  <rcc rId="3505" sId="1">
    <oc r="F481">
      <f>F482</f>
    </oc>
    <nc r="F481">
      <f>F482+F486</f>
    </nc>
  </rcc>
  <rcc rId="3506" sId="1">
    <oc r="B496" t="inlineStr">
      <is>
        <t>18 0 F5 52431</t>
      </is>
    </oc>
    <nc r="B496" t="inlineStr">
      <is>
        <t>18 0 F5 52430</t>
      </is>
    </nc>
  </rcc>
  <rcc rId="3507" sId="1">
    <oc r="B497" t="inlineStr">
      <is>
        <t>18 0 F5 52431</t>
      </is>
    </oc>
    <nc r="B497" t="inlineStr">
      <is>
        <t>18 0 F5 52430</t>
      </is>
    </nc>
  </rcc>
  <rcc rId="3508" sId="1">
    <oc r="B498" t="inlineStr">
      <is>
        <t>18 0 F5 52431</t>
      </is>
    </oc>
    <nc r="B498" t="inlineStr">
      <is>
        <t>18 0 F5 52430</t>
      </is>
    </nc>
  </rcc>
  <rcc rId="3509" sId="1">
    <oc r="B499" t="inlineStr">
      <is>
        <t>18 0 F5 52431</t>
      </is>
    </oc>
    <nc r="B499" t="inlineStr">
      <is>
        <t>18 0 F5 52430</t>
      </is>
    </nc>
  </rcc>
  <rfmt sheetId="1" sqref="B496:B499">
    <dxf>
      <fill>
        <patternFill>
          <bgColor theme="0"/>
        </patternFill>
      </fill>
    </dxf>
  </rfmt>
  <rrc rId="3510" sId="1" ref="A500:XFD500" action="insertRow"/>
  <rrc rId="3511" sId="1" ref="A500:XFD500" action="insertRow"/>
  <rrc rId="3512" sId="1" ref="A500:XFD500" action="insertRow"/>
  <rrc rId="3513" sId="1" ref="A500:XFD500" action="insertRow"/>
  <rcc rId="3514" sId="1">
    <nc r="C503">
      <v>414</v>
    </nc>
  </rcc>
  <rcc rId="3515" sId="1">
    <nc r="C502">
      <v>410</v>
    </nc>
  </rcc>
  <rcc rId="3516" sId="1">
    <nc r="C501">
      <v>400</v>
    </nc>
  </rcc>
  <rcc rId="3517" sId="1" xfDxf="1" dxf="1">
    <nc r="A503" t="inlineStr">
      <is>
        <t>Бюджетные инвестиции в объекты капитального строительства государственной (муниципальной) собственности</t>
      </is>
    </nc>
    <ndxf>
      <font>
        <name val="Times New Roman Cyr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18" sId="1" xfDxf="1" dxf="1">
    <nc r="A502" t="inlineStr">
      <is>
        <t>Бюджетные инвестиции</t>
      </is>
    </nc>
    <ndxf>
      <font>
        <name val="Times New Roman Cyr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19" sId="1" xfDxf="1" dxf="1">
    <nc r="A501" t="inlineStr">
      <is>
        <t>Капитальные вложения в объекты государственной (муниципальной) собственности</t>
      </is>
    </nc>
    <ndxf>
      <font>
        <name val="Times New Roman Cyr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20" sId="1" xfDxf="1" dxf="1">
    <nc r="A500" t="inlineStr">
      <is>
        <t>Строительство и реконструкция (модернизация) объектов питьевого водоснабжения</t>
      </is>
    </nc>
    <ndxf>
      <font>
        <name val="Times New Roman Cyr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xfDxf="1" sqref="B500" start="0" length="0">
    <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dxf>
  </rfmt>
  <rfmt sheetId="1" xfDxf="1" sqref="B501" start="0" length="0">
    <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dxf>
  </rfmt>
  <rfmt sheetId="1" xfDxf="1" sqref="B503" start="0" length="0">
    <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dxf>
  </rfmt>
  <rfmt sheetId="1" xfDxf="1" sqref="B502" start="0" length="0">
    <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dxf>
  </rfmt>
  <rcc rId="3521" sId="1">
    <nc r="B503" t="inlineStr">
      <is>
        <t>18 0 F5 52431</t>
      </is>
    </nc>
  </rcc>
  <rcc rId="3522" sId="1">
    <nc r="B502" t="inlineStr">
      <is>
        <t>18 0 F5 52431</t>
      </is>
    </nc>
  </rcc>
  <rcc rId="3523" sId="1">
    <nc r="B501" t="inlineStr">
      <is>
        <t>18 0 F5 52431</t>
      </is>
    </nc>
  </rcc>
  <rcc rId="3524" sId="1">
    <nc r="B500" t="inlineStr">
      <is>
        <t>18 0 F5 52431</t>
      </is>
    </nc>
  </rcc>
  <rcc rId="3525" sId="1">
    <nc r="D502">
      <f>D503</f>
    </nc>
  </rcc>
  <rcc rId="3526" sId="1">
    <nc r="E502">
      <f>E503</f>
    </nc>
  </rcc>
  <rcc rId="3527" sId="1">
    <nc r="F502">
      <f>F503</f>
    </nc>
  </rcc>
  <rcc rId="3528" sId="1">
    <nc r="D500">
      <f>D501</f>
    </nc>
  </rcc>
  <rcc rId="3529" sId="1">
    <nc r="E500">
      <f>E501</f>
    </nc>
  </rcc>
  <rcc rId="3530" sId="1">
    <nc r="F500">
      <f>F501</f>
    </nc>
  </rcc>
  <rcc rId="3531" sId="1">
    <nc r="D501">
      <f>D502</f>
    </nc>
  </rcc>
  <rcc rId="3532" sId="1">
    <nc r="E501">
      <f>E502</f>
    </nc>
  </rcc>
  <rcc rId="3533" sId="1">
    <nc r="F501">
      <f>F502</f>
    </nc>
  </rcc>
  <rcc rId="3534" sId="1">
    <oc r="D495">
      <f>D496</f>
    </oc>
    <nc r="D495">
      <f>D496+D500</f>
    </nc>
  </rcc>
  <rcc rId="3535" sId="1">
    <oc r="E495">
      <f>E496</f>
    </oc>
    <nc r="E495">
      <f>E496+E500</f>
    </nc>
  </rcc>
  <rcc rId="3536" sId="1">
    <oc r="F495">
      <f>F496</f>
    </oc>
    <nc r="F495">
      <f>F496+F500</f>
    </nc>
  </rcc>
  <rcv guid="{D9B90A86-BE39-4FED-8226-084809D277F3}" action="delete"/>
  <rdn rId="0" localSheetId="1" customView="1" name="Z_D9B90A86_BE39_4FED_8226_084809D277F3_.wvu.PrintArea" hidden="1" oldHidden="1">
    <formula>'программы '!$A$1:$F$843</formula>
    <oldFormula>'программы '!$A$1:$F$843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'!$A$1:$A$856</formula>
    <oldFormula>'программы '!$A$1:$A$856</oldFormula>
  </rdn>
  <rcv guid="{D9B90A86-BE39-4FED-8226-084809D277F3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00:XFD503">
    <dxf>
      <fill>
        <patternFill>
          <bgColor theme="6" tint="0.59999389629810485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32" sId="1" ref="A53:XFD53" action="insertRow">
    <undo index="0" exp="area" ref3D="1" dr="$A$233:$XFD$237" dn="Z_D9B90A86_BE39_4FED_8226_084809D277F3_.wvu.Rows" sId="1"/>
    <undo index="0" exp="area" ref3D="1" dr="$A$233:$XFD$237" dn="Z_30E81E54_DD45_4653_9DCD_548F6723F554_.wvu.Rows" sId="1"/>
  </rrc>
  <rrc rId="2833" sId="1" ref="A53:XFD53" action="insertRow">
    <undo index="0" exp="area" ref3D="1" dr="$A$234:$XFD$238" dn="Z_D9B90A86_BE39_4FED_8226_084809D277F3_.wvu.Rows" sId="1"/>
    <undo index="0" exp="area" ref3D="1" dr="$A$234:$XFD$238" dn="Z_30E81E54_DD45_4653_9DCD_548F6723F554_.wvu.Rows" sId="1"/>
  </rrc>
  <rrc rId="2834" sId="1" ref="A53:XFD53" action="insertRow">
    <undo index="0" exp="area" ref3D="1" dr="$A$235:$XFD$239" dn="Z_D9B90A86_BE39_4FED_8226_084809D277F3_.wvu.Rows" sId="1"/>
    <undo index="0" exp="area" ref3D="1" dr="$A$235:$XFD$239" dn="Z_30E81E54_DD45_4653_9DCD_548F6723F554_.wvu.Rows" sId="1"/>
  </rrc>
  <rrc rId="2835" sId="1" ref="A53:XFD53" action="insertRow">
    <undo index="0" exp="area" ref3D="1" dr="$A$236:$XFD$240" dn="Z_D9B90A86_BE39_4FED_8226_084809D277F3_.wvu.Rows" sId="1"/>
    <undo index="0" exp="area" ref3D="1" dr="$A$236:$XFD$240" dn="Z_30E81E54_DD45_4653_9DCD_548F6723F554_.wvu.Rows" sId="1"/>
  </rrc>
  <rcc rId="2836" sId="1" xfDxf="1" dxf="1">
    <nc r="A53" t="inlineStr">
      <is>
        <t>Реализация мероприятий по социально-экономическому развитию муниципальных округов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37" sId="1">
    <nc r="C56">
      <v>612</v>
    </nc>
  </rcc>
  <rcc rId="2838" sId="1">
    <nc r="C55">
      <v>610</v>
    </nc>
  </rcc>
  <rcc rId="2839" sId="1">
    <nc r="C54">
      <v>600</v>
    </nc>
  </rcc>
  <rcc rId="2840" sId="1" xfDxf="1" dxf="1">
    <nc r="B53" t="inlineStr">
      <is>
        <t>03 1 00 Э8160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1" sId="1" xfDxf="1" dxf="1">
    <nc r="B54" t="inlineStr">
      <is>
        <t>03 1 00 Э8160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2" sId="1" xfDxf="1" dxf="1">
    <nc r="B55" t="inlineStr">
      <is>
        <t>03 1 00 Э8160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3" sId="1" xfDxf="1" dxf="1">
    <nc r="B56" t="inlineStr">
      <is>
        <t>03 1 00 Э8160</t>
      </is>
    </nc>
    <ndxf>
      <font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4" sId="1" xfDxf="1" dxf="1">
    <nc r="A54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5" sId="1" xfDxf="1" dxf="1">
    <nc r="A55" t="inlineStr">
      <is>
        <t>Субсидии бюджетным учреждениям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6" sId="1" xfDxf="1" dxf="1">
    <nc r="A56" t="inlineStr">
      <is>
        <t>Субсидии бюджетным учреждениям на иные цели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:XFD56">
    <dxf>
      <fill>
        <patternFill patternType="solid">
          <bgColor theme="6" tint="0.59999389629810485"/>
        </patternFill>
      </fill>
    </dxf>
  </rfmt>
  <rcc rId="2847" sId="1">
    <oc r="D40">
      <f>D41+D45+D57+D62+D49</f>
    </oc>
    <nc r="D40">
      <f>D41+D45+D57+D62+D49+D53</f>
    </nc>
  </rcc>
  <rcc rId="2848" sId="1">
    <oc r="E40">
      <f>E41+E45+E57+E62+E49</f>
    </oc>
    <nc r="E40">
      <f>E41+E45+E57+E62+E49+E53</f>
    </nc>
  </rcc>
  <rcc rId="2849" sId="1">
    <oc r="F40">
      <f>F41+F45+F57+F62+F49</f>
    </oc>
    <nc r="F40">
      <f>F41+F45+F57+F62+F49+F53</f>
    </nc>
  </rcc>
  <rcv guid="{D9B90A86-BE39-4FED-8226-084809D277F3}" action="delete"/>
  <rdn rId="0" localSheetId="1" customView="1" name="Z_D9B90A86_BE39_4FED_8226_084809D277F3_.wvu.PrintArea" hidden="1" oldHidden="1">
    <formula>'программы '!$A$1:$F$759</formula>
    <oldFormula>'программы '!$A$1:$F$759</oldFormula>
  </rdn>
  <rdn rId="0" localSheetId="1" customView="1" name="Z_D9B90A86_BE39_4FED_8226_084809D277F3_.wvu.Rows" hidden="1" oldHidden="1">
    <formula>'программы '!$237:$241</formula>
    <oldFormula>'программы '!$237:$241</oldFormula>
  </rdn>
  <rdn rId="0" localSheetId="1" customView="1" name="Z_D9B90A86_BE39_4FED_8226_084809D277F3_.wvu.FilterData" hidden="1" oldHidden="1">
    <formula>'программы '!$A$1:$A$772</formula>
    <oldFormula>'программы '!$A$1:$A$772</oldFormula>
  </rdn>
  <rcv guid="{D9B90A86-BE39-4FED-8226-084809D277F3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40" sId="1" ref="A771:XFD771" action="insertRow"/>
  <rrc rId="3541" sId="1" ref="A771:XFD771" action="insertRow"/>
  <rrc rId="3542" sId="1" ref="A771:XFD771" action="insertRow"/>
  <rrc rId="3543" sId="1" ref="A772:XFD772" action="insertRow"/>
  <rcc rId="3544" sId="1" xfDxf="1" dxf="1">
    <nc r="B771" t="inlineStr">
      <is>
        <t>61 1 00 R0821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545" sId="1" xfDxf="1" dxf="1">
    <nc r="B772" t="inlineStr">
      <is>
        <t>61 1 00 R0821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546" sId="1" xfDxf="1" dxf="1">
    <nc r="B773" t="inlineStr">
      <is>
        <t>61 1 00 R0821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547" sId="1" xfDxf="1" dxf="1">
    <nc r="B774" t="inlineStr">
      <is>
        <t>61 1 00 R0821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3548" sId="1">
    <oc r="B767" t="inlineStr">
      <is>
        <t>61 1 00 R0821</t>
      </is>
    </oc>
    <nc r="B767" t="inlineStr">
      <is>
        <t>61 1 00 R0820</t>
      </is>
    </nc>
  </rcc>
  <rcc rId="3549" sId="1">
    <oc r="B768" t="inlineStr">
      <is>
        <t>61 1 00 R0821</t>
      </is>
    </oc>
    <nc r="B768" t="inlineStr">
      <is>
        <t>61 1 00 R0820</t>
      </is>
    </nc>
  </rcc>
  <rcc rId="3550" sId="1">
    <oc r="B769" t="inlineStr">
      <is>
        <t>61 1 00 R0821</t>
      </is>
    </oc>
    <nc r="B769" t="inlineStr">
      <is>
        <t>61 1 00 R0820</t>
      </is>
    </nc>
  </rcc>
  <rcc rId="3551" sId="1">
    <oc r="B770" t="inlineStr">
      <is>
        <t>61 1 00 R0821</t>
      </is>
    </oc>
    <nc r="B770" t="inlineStr">
      <is>
        <t>61 1 00 R0820</t>
      </is>
    </nc>
  </rcc>
  <rcv guid="{D9B90A86-BE39-4FED-8226-084809D277F3}" action="delete"/>
  <rdn rId="0" localSheetId="1" customView="1" name="Z_D9B90A86_BE39_4FED_8226_084809D277F3_.wvu.PrintArea" hidden="1" oldHidden="1">
    <formula>'программы '!$A$1:$F$847</formula>
    <oldFormula>'программы '!$A$1:$F$847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'!$A$1:$A$860</formula>
    <oldFormula>'программы '!$A$1:$A$860</oldFormula>
  </rdn>
  <rcv guid="{D9B90A86-BE39-4FED-8226-084809D277F3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5" sId="1">
    <nc r="C774" t="inlineStr">
      <is>
        <t>412</t>
      </is>
    </nc>
  </rcc>
  <rcc rId="3556" sId="1">
    <nc r="C773" t="inlineStr">
      <is>
        <t>410</t>
      </is>
    </nc>
  </rcc>
  <rcc rId="3557" sId="1">
    <nc r="C772" t="inlineStr">
      <is>
        <t>400</t>
      </is>
    </nc>
  </rcc>
  <rcc rId="3558" sId="1" xfDxf="1" dxf="1">
    <nc r="A774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59" sId="1" xfDxf="1" dxf="1">
    <nc r="A773" t="inlineStr">
      <is>
        <t>Бюджетные инвестиции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60" sId="1" xfDxf="1" dxf="1">
    <nc r="A772" t="inlineStr">
      <is>
        <t>Капитальные вложения в объекты государственной (муниципальной) собственности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61" sId="1" xfDxf="1" dxf="1">
    <nc r="A771" t="inlineStr">
      <is>
        <t>Обеспечение детей-сирот и детей, оставшихся без попечения родителей, жилыми помещениями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62" sId="1">
    <nc r="D773">
      <f>D774</f>
    </nc>
  </rcc>
  <rcc rId="3563" sId="1">
    <nc r="E773">
      <f>E774</f>
    </nc>
  </rcc>
  <rcc rId="3564" sId="1">
    <nc r="F773">
      <f>F774</f>
    </nc>
  </rcc>
  <rcc rId="3565" sId="1">
    <nc r="D771">
      <f>D772</f>
    </nc>
  </rcc>
  <rcc rId="3566" sId="1">
    <nc r="E771">
      <f>E772</f>
    </nc>
  </rcc>
  <rcc rId="3567" sId="1">
    <nc r="F771">
      <f>F772</f>
    </nc>
  </rcc>
  <rcc rId="3568" sId="1">
    <nc r="D772">
      <f>D773</f>
    </nc>
  </rcc>
  <rcc rId="3569" sId="1">
    <nc r="E772">
      <f>E773</f>
    </nc>
  </rcc>
  <rcc rId="3570" sId="1">
    <nc r="F772">
      <f>F773</f>
    </nc>
  </rcc>
  <rcc rId="3571" sId="1">
    <oc r="D766">
      <f>D767+D775+D779</f>
    </oc>
    <nc r="D766">
      <f>D767+D775+D779+D771</f>
    </nc>
  </rcc>
  <rcc rId="3572" sId="1">
    <oc r="E766">
      <f>E767+E775+E779</f>
    </oc>
    <nc r="E766">
      <f>E767+E775+E779+E771</f>
    </nc>
  </rcc>
  <rcc rId="3573" sId="1">
    <oc r="F766">
      <f>F767+F775+F779</f>
    </oc>
    <nc r="F766">
      <f>F767+F775+F779+F771</f>
    </nc>
  </rcc>
  <rcv guid="{D9B90A86-BE39-4FED-8226-084809D277F3}" action="delete"/>
  <rdn rId="0" localSheetId="1" customView="1" name="Z_D9B90A86_BE39_4FED_8226_084809D277F3_.wvu.PrintArea" hidden="1" oldHidden="1">
    <formula>'программы '!$A$1:$F$847</formula>
    <oldFormula>'программы '!$A$1:$F$847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'!$A$1:$A$860</formula>
    <oldFormula>'программы '!$A$1:$A$860</oldFormula>
  </rdn>
  <rcv guid="{D9B90A86-BE39-4FED-8226-084809D277F3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71:XFD774">
    <dxf>
      <fill>
        <patternFill>
          <bgColor theme="6" tint="0.59999389629810485"/>
        </patternFill>
      </fill>
    </dxf>
  </rfmt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77" sId="1" ref="A295:XFD295" action="insertRow"/>
  <rrc rId="3578" sId="1" ref="A295:XFD295" action="insertRow"/>
  <rrc rId="3579" sId="1" ref="A295:XFD295" action="insertRow"/>
  <rrc rId="3580" sId="1" ref="A295:XFD295" action="insertRow"/>
  <rcc rId="3581" sId="1" numFmtId="34">
    <nc r="C298">
      <v>244</v>
    </nc>
  </rcc>
  <rcc rId="3582" sId="1" numFmtId="34">
    <nc r="C297">
      <v>240</v>
    </nc>
  </rcc>
  <rcc rId="3583" sId="1" numFmtId="34">
    <nc r="C296">
      <v>200</v>
    </nc>
  </rcc>
  <rcc rId="3584" sId="1" xfDxf="1" dxf="1">
    <nc r="A295" t="inlineStr">
      <is>
        <t xml:space="preserve">Обустройтсво и модернизация плоскостных спортивных соооружений 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85" sId="1" xfDxf="1" dxf="1">
    <nc r="A296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86" sId="1" xfDxf="1" dxf="1">
    <nc r="A297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87" sId="1" xfDxf="1" dxf="1">
    <nc r="A298" t="inlineStr">
      <is>
        <t xml:space="preserve">Прочая закупка товаров, работ и услуг </t>
      </is>
    </nc>
    <ndxf>
      <font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588" sId="1" xfDxf="1" s="1" dxf="1">
    <nc r="B295" t="inlineStr">
      <is>
        <t>06 1 00 S8080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3589" sId="1" xfDxf="1" s="1" dxf="1">
    <nc r="B296" t="inlineStr">
      <is>
        <t>06 1 00 S8080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3590" sId="1" xfDxf="1" s="1" dxf="1">
    <nc r="B297" t="inlineStr">
      <is>
        <t>06 1 00 S8080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3591" sId="1" xfDxf="1" s="1" dxf="1">
    <nc r="B298" t="inlineStr">
      <is>
        <t>06 1 00 S8080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ndxf>
  </rcc>
  <rcc rId="3592" sId="1">
    <nc r="D297">
      <f>D298</f>
    </nc>
  </rcc>
  <rcc rId="3593" sId="1">
    <nc r="E297">
      <f>E298</f>
    </nc>
  </rcc>
  <rcc rId="3594" sId="1">
    <nc r="F297">
      <f>F298</f>
    </nc>
  </rcc>
  <rcc rId="3595" sId="1">
    <nc r="D295">
      <f>D296</f>
    </nc>
  </rcc>
  <rcc rId="3596" sId="1">
    <nc r="E295">
      <f>E296</f>
    </nc>
  </rcc>
  <rcc rId="3597" sId="1">
    <nc r="F295">
      <f>F296</f>
    </nc>
  </rcc>
  <rcc rId="3598" sId="1">
    <nc r="D296">
      <f>D297</f>
    </nc>
  </rcc>
  <rcc rId="3599" sId="1">
    <nc r="E296">
      <f>E297</f>
    </nc>
  </rcc>
  <rcc rId="3600" sId="1">
    <nc r="F296">
      <f>F297</f>
    </nc>
  </rcc>
  <rcc rId="3601" sId="1">
    <oc r="D282">
      <f>D283+D299</f>
    </oc>
    <nc r="D282">
      <f>D283+D299+D295</f>
    </nc>
  </rcc>
  <rcc rId="3602" sId="1">
    <oc r="E282">
      <f>E283+E299</f>
    </oc>
    <nc r="E282">
      <f>E283+E299+E295</f>
    </nc>
  </rcc>
  <rcc rId="3603" sId="1">
    <oc r="F282">
      <f>F283+F299</f>
    </oc>
    <nc r="F282">
      <f>F283+F299+F295</f>
    </nc>
  </rcc>
  <rcv guid="{D9B90A86-BE39-4FED-8226-084809D277F3}" action="delete"/>
  <rdn rId="0" localSheetId="1" customView="1" name="Z_D9B90A86_BE39_4FED_8226_084809D277F3_.wvu.PrintArea" hidden="1" oldHidden="1">
    <formula>'программы '!$A$1:$F$851</formula>
    <oldFormula>'программы '!$A$1:$F$851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'!$A$1:$A$864</formula>
    <oldFormula>'программы '!$A$1:$A$864</oldFormula>
  </rdn>
  <rcv guid="{D9B90A86-BE39-4FED-8226-084809D277F3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7" sId="1">
    <oc r="A295" t="inlineStr">
      <is>
        <t xml:space="preserve">Обустройтсво и модернизация плоскостных спортивных соооружений </t>
      </is>
    </oc>
    <nc r="A295" t="inlineStr">
      <is>
        <t xml:space="preserve">Обустройство и модернизация плоскостных спортивных соооружений </t>
      </is>
    </nc>
  </rcc>
  <rfmt sheetId="1" sqref="A295:XFD298">
    <dxf>
      <fill>
        <patternFill patternType="solid">
          <bgColor theme="8" tint="0.39997558519241921"/>
        </patternFill>
      </fill>
    </dxf>
  </rfmt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8" sId="1" numFmtId="34">
    <nc r="D56">
      <v>1275000</v>
    </nc>
  </rcc>
  <rcc rId="3609" sId="1" numFmtId="34">
    <nc r="D60">
      <v>1290000</v>
    </nc>
  </rcc>
  <rcc rId="3610" sId="1" numFmtId="34">
    <nc r="D78">
      <v>33433445</v>
    </nc>
  </rcc>
  <rcc rId="3611" sId="1" numFmtId="34">
    <nc r="E78">
      <v>33307285</v>
    </nc>
  </rcc>
  <rcc rId="3612" sId="1" numFmtId="34">
    <nc r="F78">
      <v>32424070</v>
    </nc>
  </rcc>
  <rcc rId="3613" sId="1" numFmtId="34">
    <oc r="D74">
      <v>33433445</v>
    </oc>
    <nc r="D74">
      <v>0</v>
    </nc>
  </rcc>
  <rcc rId="3614" sId="1" numFmtId="34">
    <oc r="E74">
      <v>33307285</v>
    </oc>
    <nc r="E74">
      <v>0</v>
    </nc>
  </rcc>
  <rcc rId="3615" sId="1" numFmtId="34">
    <oc r="F74">
      <v>32424070</v>
    </oc>
    <nc r="F74">
      <v>0</v>
    </nc>
  </rcc>
  <rcc rId="3616" sId="1" numFmtId="34">
    <nc r="D90">
      <v>987400</v>
    </nc>
  </rcc>
  <rcc rId="3617" sId="1" numFmtId="34">
    <nc r="D94">
      <v>7720306.2000000002</v>
    </nc>
  </rcc>
  <rcc rId="3618" sId="1" numFmtId="34">
    <oc r="D98">
      <v>209988112</v>
    </oc>
    <nc r="D98">
      <v>209923088.25</v>
    </nc>
  </rcc>
  <rcc rId="3619" sId="1" numFmtId="34">
    <oc r="E98">
      <v>125652639.21000001</v>
    </oc>
    <nc r="E98">
      <v>125619716.20999999</v>
    </nc>
  </rcc>
  <rcc rId="3620" sId="1" numFmtId="34">
    <oc r="F98">
      <v>129914883.89000002</v>
    </oc>
    <nc r="F98">
      <v>130092010.89</v>
    </nc>
  </rcc>
  <rcc rId="3621" sId="1" numFmtId="34">
    <nc r="D110">
      <v>2963155.95</v>
    </nc>
  </rcc>
  <rcc rId="3622" sId="1" numFmtId="34">
    <oc r="D118">
      <v>1057252</v>
    </oc>
    <nc r="D118">
      <v>2114504</v>
    </nc>
  </rcc>
  <rcc rId="3623" sId="1" numFmtId="34">
    <oc r="E118">
      <v>1057252</v>
    </oc>
    <nc r="E118">
      <v>2114504</v>
    </nc>
  </rcc>
  <rcc rId="3624" sId="1" numFmtId="34">
    <oc r="F118">
      <v>1057252</v>
    </oc>
    <nc r="F118">
      <v>2114504</v>
    </nc>
  </rcc>
  <rcc rId="3625" sId="1" numFmtId="34">
    <oc r="D122">
      <v>252339.11</v>
    </oc>
    <nc r="D122">
      <v>2523391.11</v>
    </nc>
  </rcc>
  <rcc rId="3626" sId="1" numFmtId="34">
    <oc r="E122">
      <v>0</v>
    </oc>
    <nc r="E122">
      <v>2271052</v>
    </nc>
  </rcc>
  <rcc rId="3627" sId="1" numFmtId="34">
    <oc r="F122">
      <v>0</v>
    </oc>
    <nc r="F122">
      <v>2271052</v>
    </nc>
  </rcc>
  <rcc rId="3628" sId="1" numFmtId="34">
    <oc r="D126">
      <v>117241.45</v>
    </oc>
    <nc r="D126">
      <v>358620.91</v>
    </nc>
  </rcc>
  <rcc rId="3629" sId="1" numFmtId="34">
    <oc r="E126">
      <v>117241.45</v>
    </oc>
    <nc r="E126">
      <v>303615.37</v>
    </nc>
  </rcc>
  <rcc rId="3630" sId="1" numFmtId="34">
    <oc r="F126">
      <v>117241.45</v>
    </oc>
    <nc r="F126">
      <v>303615.37</v>
    </nc>
  </rcc>
  <rcc rId="3631" sId="1" numFmtId="34">
    <oc r="D131">
      <v>84058344.049999997</v>
    </oc>
    <nc r="D131">
      <v>84058344.060000002</v>
    </nc>
  </rcc>
  <rcc rId="3632" sId="1" numFmtId="34">
    <oc r="D135">
      <v>85139959.870000005</v>
    </oc>
    <nc r="D135">
      <v>85139959.859999999</v>
    </nc>
  </rcc>
  <rcv guid="{D9B90A86-BE39-4FED-8226-084809D277F3}" action="delete"/>
  <rdn rId="0" localSheetId="1" customView="1" name="Z_D9B90A86_BE39_4FED_8226_084809D277F3_.wvu.PrintArea" hidden="1" oldHidden="1">
    <formula>'программы '!$A$1:$F$851</formula>
    <oldFormula>'программы '!$A$1:$F$851</oldFormula>
  </rdn>
  <rdn rId="0" localSheetId="1" customView="1" name="Z_D9B90A86_BE39_4FED_8226_084809D277F3_.wvu.Rows" hidden="1" oldHidden="1">
    <formula>'программы '!$276:$280</formula>
    <oldFormula>'программы '!$276:$280</oldFormula>
  </rdn>
  <rdn rId="0" localSheetId="1" customView="1" name="Z_D9B90A86_BE39_4FED_8226_084809D277F3_.wvu.FilterData" hidden="1" oldHidden="1">
    <formula>'программы '!$A$1:$A$864</formula>
    <oldFormula>'программы '!$A$1:$A$864</oldFormula>
  </rdn>
  <rcv guid="{D9B90A86-BE39-4FED-8226-084809D277F3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6" sId="1" numFmtId="34">
    <oc r="D140">
      <v>2892204</v>
    </oc>
    <nc r="D140">
      <v>0</v>
    </nc>
  </rcc>
  <rcc rId="3637" sId="1" numFmtId="34">
    <nc r="D144">
      <v>1387489.8</v>
    </nc>
  </rcc>
  <rcc rId="3638" sId="1" numFmtId="34">
    <nc r="D149">
      <v>4396968.58</v>
    </nc>
  </rcc>
  <rcc rId="3639" sId="1" numFmtId="34">
    <nc r="E149">
      <v>4396968.58</v>
    </nc>
  </rcc>
  <rcc rId="3640" sId="1" numFmtId="34">
    <nc r="F149">
      <v>5315495.72</v>
    </nc>
  </rcc>
  <rrc rId="3641" sId="1" ref="A171:XFD171" action="insertRow">
    <undo index="0" exp="area" ref3D="1" dr="$A$276:$XFD$280" dn="Z_30E81E54_DD45_4653_9DCD_548F6723F554_.wvu.Rows" sId="1"/>
    <undo index="0" exp="area" ref3D="1" dr="$A$276:$XFD$280" dn="Z_D9B90A86_BE39_4FED_8226_084809D277F3_.wvu.Rows" sId="1"/>
  </rrc>
  <rcc rId="3642" sId="1" xfDxf="1" dxf="1">
    <nc r="A171" t="inlineStr">
      <is>
    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643" sId="1">
    <nc r="B171" t="inlineStr">
      <is>
        <t>03 3 00 Л8620</t>
      </is>
    </nc>
  </rcc>
  <rcc rId="3644" sId="1" numFmtId="34">
    <nc r="C171">
      <v>614</v>
    </nc>
  </rcc>
  <rcc rId="3645" sId="1">
    <oc r="D169">
      <f>D170</f>
    </oc>
    <nc r="D169">
      <f>D170+D171</f>
    </nc>
  </rcc>
  <rcc rId="3646" sId="1">
    <oc r="E169">
      <f>E170</f>
    </oc>
    <nc r="E169">
      <f>E170+E171</f>
    </nc>
  </rcc>
  <rcc rId="3647" sId="1">
    <oc r="F169">
      <f>F170</f>
    </oc>
    <nc r="F169">
      <f>F170+F171</f>
    </nc>
  </rcc>
  <rcc rId="3648" sId="1" numFmtId="34">
    <nc r="D171">
      <v>83725468</v>
    </nc>
  </rcc>
  <rcc rId="3649" sId="1" numFmtId="34">
    <nc r="E171">
      <v>93470621</v>
    </nc>
  </rcc>
  <rcc rId="3650" sId="1" numFmtId="34">
    <nc r="F171">
      <v>93511032</v>
    </nc>
  </rcc>
  <rcc rId="3651" sId="1" numFmtId="34">
    <oc r="D170">
      <v>83725468</v>
    </oc>
    <nc r="D170">
      <v>0</v>
    </nc>
  </rcc>
  <rcc rId="3652" sId="1" numFmtId="34">
    <oc r="E170">
      <v>93470621</v>
    </oc>
    <nc r="E170">
      <v>0</v>
    </nc>
  </rcc>
  <rcc rId="3653" sId="1" numFmtId="34">
    <oc r="F170">
      <v>93511032</v>
    </oc>
    <nc r="F170">
      <v>0</v>
    </nc>
  </rcc>
  <rcc rId="3654" sId="1" numFmtId="34">
    <oc r="D175">
      <v>16273661.609999999</v>
    </oc>
    <nc r="D175">
      <v>0</v>
    </nc>
  </rcc>
  <rcc rId="3655" sId="1" numFmtId="34">
    <oc r="E175">
      <v>10541287.98</v>
    </oc>
    <nc r="E175">
      <v>0</v>
    </nc>
  </rcc>
  <rcc rId="3656" sId="1" numFmtId="34">
    <oc r="F175">
      <v>10922299.829999998</v>
    </oc>
    <nc r="F175">
      <v>0</v>
    </nc>
  </rcc>
  <rrc rId="3657" sId="1" ref="A176:XFD176" action="insertRow">
    <undo index="0" exp="area" ref3D="1" dr="$A$277:$XFD$281" dn="Z_30E81E54_DD45_4653_9DCD_548F6723F554_.wvu.Rows" sId="1"/>
    <undo index="0" exp="area" ref3D="1" dr="$A$277:$XFD$281" dn="Z_D9B90A86_BE39_4FED_8226_084809D277F3_.wvu.Rows" sId="1"/>
  </rrc>
  <rcc rId="3658" sId="1" xfDxf="1" dxf="1">
    <nc r="A176" t="inlineStr">
      <is>
    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    </is>
    </nc>
    <ndxf>
      <font>
        <name val="Times New Roman"/>
        <scheme val="none"/>
      </font>
      <numFmt numFmtId="30" formatCode="@"/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659" sId="1">
    <nc r="B176" t="inlineStr">
      <is>
        <t>03 3 00 80100</t>
      </is>
    </nc>
  </rcc>
  <rcc rId="3660" sId="1" numFmtId="34">
    <nc r="C176">
      <v>614</v>
    </nc>
  </rcc>
  <rcc rId="3661" sId="1">
    <oc r="D174">
      <f>D175</f>
    </oc>
    <nc r="D174">
      <f>D175+D176</f>
    </nc>
  </rcc>
  <rcc rId="3662" sId="1">
    <oc r="E174">
      <f>E175</f>
    </oc>
    <nc r="E174">
      <f>E175+E176</f>
    </nc>
  </rcc>
  <rcc rId="3663" sId="1">
    <oc r="F174">
      <f>F175</f>
    </oc>
    <nc r="F174">
      <f>F175+F176</f>
    </nc>
  </rcc>
  <rcc rId="3664" sId="1" numFmtId="34">
    <nc r="F176">
      <v>8704511.8300000001</v>
    </nc>
  </rcc>
  <rcc rId="3665" sId="1" numFmtId="34">
    <nc r="E176">
      <v>8536162.9800000004</v>
    </nc>
  </rcc>
  <rcc rId="3666" sId="1" numFmtId="34">
    <nc r="D176">
      <v>16823745.359999999</v>
    </nc>
  </rcc>
  <rcv guid="{D9B90A86-BE39-4FED-8226-084809D277F3}" action="delete"/>
  <rdn rId="0" localSheetId="1" customView="1" name="Z_D9B90A86_BE39_4FED_8226_084809D277F3_.wvu.PrintArea" hidden="1" oldHidden="1">
    <formula>'программы '!$A$1:$F$853</formula>
    <oldFormula>'программы '!$A$1:$F$853</oldFormula>
  </rdn>
  <rdn rId="0" localSheetId="1" customView="1" name="Z_D9B90A86_BE39_4FED_8226_084809D277F3_.wvu.Rows" hidden="1" oldHidden="1">
    <formula>'программы '!$278:$282</formula>
    <oldFormula>'программы '!$278:$282</oldFormula>
  </rdn>
  <rdn rId="0" localSheetId="1" customView="1" name="Z_D9B90A86_BE39_4FED_8226_084809D277F3_.wvu.FilterData" hidden="1" oldHidden="1">
    <formula>'программы '!$A$1:$A$866</formula>
    <oldFormula>'программы '!$A$1:$A$866</oldFormula>
  </rdn>
  <rcv guid="{D9B90A86-BE39-4FED-8226-084809D277F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0" sId="1" numFmtId="34">
    <oc r="D190">
      <v>5768465</v>
    </oc>
    <nc r="D190">
      <v>5674106</v>
    </nc>
  </rcc>
  <rcc rId="3671" sId="1" numFmtId="34">
    <oc r="F190">
      <v>5694499</v>
    </oc>
    <nc r="F190">
      <v>7707130</v>
    </nc>
  </rcc>
  <rcc rId="3672" sId="1" numFmtId="34">
    <oc r="E190">
      <v>5729667</v>
    </oc>
    <nc r="E190">
      <v>7734792</v>
    </nc>
  </rcc>
  <rcc rId="3673" sId="1" numFmtId="34">
    <oc r="F191">
      <v>207822</v>
    </oc>
    <nc r="F191">
      <v>205157</v>
    </nc>
  </rcc>
  <rcc rId="3674" sId="1" numFmtId="34">
    <oc r="E191">
      <v>207822</v>
    </oc>
    <nc r="E191">
      <v>206423</v>
    </nc>
  </rcc>
  <rcc rId="3675" sId="1" numFmtId="34">
    <oc r="F193">
      <v>207821</v>
    </oc>
    <nc r="F193">
      <v>205157</v>
    </nc>
  </rcc>
  <rcc rId="3676" sId="1" numFmtId="34">
    <oc r="E193">
      <v>207821</v>
    </oc>
    <nc r="E193">
      <v>206423</v>
    </nc>
  </rcc>
  <rcc rId="3677" sId="1" numFmtId="34">
    <oc r="F195">
      <v>207821</v>
    </oc>
    <nc r="F195">
      <v>205156</v>
    </nc>
  </rcc>
  <rcc rId="3678" sId="1" numFmtId="34">
    <oc r="E195">
      <v>207821</v>
    </oc>
    <nc r="E195">
      <v>206423</v>
    </nc>
  </rcc>
  <rcc rId="3679" sId="1" numFmtId="34">
    <oc r="D198">
      <v>207821</v>
    </oc>
    <nc r="D198">
      <v>202720</v>
    </nc>
  </rcc>
  <rcc rId="3680" sId="1" numFmtId="34">
    <oc r="E198">
      <v>207821</v>
    </oc>
    <nc r="E198">
      <v>244938</v>
    </nc>
  </rcc>
  <rcc rId="3681" sId="1" numFmtId="34">
    <oc r="F198">
      <v>207821</v>
    </oc>
    <nc r="F198">
      <v>243845</v>
    </nc>
  </rcc>
  <rcc rId="3682" sId="1" numFmtId="34">
    <nc r="D181">
      <v>1080363.29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3" sId="1" numFmtId="34">
    <oc r="D236">
      <f>6000000+12000000</f>
    </oc>
    <nc r="D236">
      <v>20710000</v>
    </nc>
  </rcc>
  <rcc rId="3684" sId="1" numFmtId="34">
    <nc r="D300">
      <v>6796225</v>
    </nc>
  </rcc>
  <rcc rId="3685" sId="1" numFmtId="34">
    <nc r="E300">
      <v>500000</v>
    </nc>
  </rcc>
  <rcc rId="3686" sId="1" numFmtId="34">
    <nc r="F300">
      <v>500000</v>
    </nc>
  </rcc>
  <rcc rId="3687" sId="1" numFmtId="34">
    <oc r="D304">
      <v>500000</v>
    </oc>
    <nc r="D304">
      <v>0</v>
    </nc>
  </rcc>
  <rcc rId="3688" sId="1" numFmtId="34">
    <oc r="E304">
      <v>500000</v>
    </oc>
    <nc r="E304">
      <v>0</v>
    </nc>
  </rcc>
  <rcc rId="3689" sId="1" numFmtId="34">
    <oc r="F304">
      <v>500000</v>
    </oc>
    <nc r="F304">
      <v>0</v>
    </nc>
  </rcc>
  <rcc rId="3690" sId="1" numFmtId="34">
    <oc r="D288">
      <v>563800</v>
    </oc>
    <nc r="D288">
      <f>533800+30000</f>
    </nc>
  </rcc>
  <rcc rId="3691" sId="1" numFmtId="34">
    <oc r="D291">
      <v>1194300</v>
    </oc>
    <nc r="D291">
      <f>626262+540263.29</f>
    </nc>
  </rcc>
  <rcc rId="3692" sId="1" numFmtId="34">
    <oc r="D292">
      <v>287400</v>
    </oc>
    <nc r="D292">
      <v>315174.71000000002</v>
    </nc>
  </rcc>
  <rcc rId="3693" sId="1" numFmtId="34">
    <oc r="D342">
      <v>1253986.27</v>
    </oc>
    <nc r="D342">
      <v>1022422.6</v>
    </nc>
  </rcc>
  <rcc rId="3694" sId="1" numFmtId="34">
    <oc r="D333">
      <v>4332622.84</v>
    </oc>
    <nc r="D333">
      <v>5816247.3700000001</v>
    </nc>
  </rcc>
  <rcc rId="3695" sId="1" numFmtId="34">
    <oc r="D341">
      <v>1252060.8600000001</v>
    </oc>
    <nc r="D341">
      <v>0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6" sId="1" numFmtId="34">
    <nc r="D366">
      <v>2225871.17</v>
    </nc>
  </rcc>
  <rcc rId="3697" sId="1" numFmtId="34">
    <oc r="D362">
      <v>144000</v>
    </oc>
    <nc r="D362">
      <v>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>
  <rcc rId="2461" sId="1" numFmtId="34">
    <oc r="D113">
      <v>25312506.900000002</v>
    </oc>
    <nc r="D113">
      <v>25907674.970000003</v>
    </nc>
  </rcc>
  <rcc rId="2462" sId="1" numFmtId="34">
    <oc r="E113">
      <v>24813556.43</v>
    </oc>
    <nc r="E113">
      <v>24437441.52</v>
    </nc>
  </rcc>
  <rcc rId="2463" sId="1" numFmtId="34">
    <oc r="F113">
      <v>23422847.390000001</v>
    </oc>
    <nc r="F113">
      <v>22550792.98</v>
    </nc>
  </rcc>
  <rcc rId="2464" sId="1">
    <oc r="A164" t="inlineStr">
      <is>
    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    </is>
    </oc>
    <nc r="A164" t="inlineStr">
      <is>
    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    </is>
    </nc>
  </rcc>
  <rrc rId="2465" sId="1" ref="A32:XFD34" action="insertRow">
    <undo index="0" exp="area" ref3D="1" dr="$A$219:$IV$223" dn="Z_30E81E54_DD45_4653_9DCD_548F6723F554_.wvu.Rows" sId="1"/>
  </rrc>
  <rcc rId="2466" sId="1">
    <nc r="A32" t="inlineStr">
      <is>
        <t>Зарезервированные средства на дорожную деятельность</t>
      </is>
    </nc>
  </rcc>
  <rcc rId="2467" sId="1">
    <nc r="A33" t="inlineStr">
      <is>
        <t>Иные бюджетные ассигнования</t>
      </is>
    </nc>
  </rcc>
  <rcc rId="2468" sId="1">
    <nc r="A34" t="inlineStr">
      <is>
        <t>Резервные средства</t>
      </is>
    </nc>
  </rcc>
  <rcc rId="2469" sId="1">
    <nc r="B32" t="inlineStr">
      <is>
        <t>02 0 00 83290</t>
      </is>
    </nc>
  </rcc>
  <rcc rId="2470" sId="1">
    <nc r="C32"/>
  </rcc>
  <rcc rId="2471" sId="1">
    <nc r="B33" t="inlineStr">
      <is>
        <t>02 0 00 83290</t>
      </is>
    </nc>
  </rcc>
  <rcc rId="2472" sId="1">
    <nc r="C33" t="inlineStr">
      <is>
        <t>800</t>
      </is>
    </nc>
  </rcc>
  <rcc rId="2473" sId="1">
    <nc r="B34" t="inlineStr">
      <is>
        <t>02 0 00 83290</t>
      </is>
    </nc>
  </rcc>
  <rcc rId="2474" sId="1">
    <nc r="C34" t="inlineStr">
      <is>
        <t>870</t>
      </is>
    </nc>
  </rcc>
  <rcc rId="2475" sId="1" numFmtId="34">
    <nc r="D34">
      <v>5283970.16</v>
    </nc>
  </rcc>
  <rcc rId="2476" sId="1" numFmtId="34">
    <nc r="E34">
      <v>0</v>
    </nc>
  </rcc>
  <rcc rId="2477" sId="1" numFmtId="34">
    <nc r="F34">
      <v>0</v>
    </nc>
  </rcc>
  <rcc rId="2478" sId="1">
    <nc r="D32">
      <f>D33</f>
    </nc>
  </rcc>
  <rcc rId="2479" sId="1">
    <nc r="D33">
      <f>D34</f>
    </nc>
  </rcc>
  <rcc rId="2480" sId="1">
    <nc r="E32">
      <f>E33</f>
    </nc>
  </rcc>
  <rcc rId="2481" sId="1">
    <nc r="F32">
      <f>F33</f>
    </nc>
  </rcc>
  <rcc rId="2482" sId="1">
    <nc r="E33">
      <f>E34</f>
    </nc>
  </rcc>
  <rcc rId="2483" sId="1">
    <nc r="F33">
      <f>F34</f>
    </nc>
  </rcc>
  <rcc rId="2484" sId="1">
    <oc r="D19">
      <f>D28+D20+D24</f>
    </oc>
    <nc r="D19">
      <f>D28+D20+D24+D32</f>
    </nc>
  </rcc>
  <rcc rId="2485" sId="1">
    <oc r="E19">
      <f>E28+E20+E24</f>
    </oc>
    <nc r="E19">
      <f>E28+E20+E24+E32</f>
    </nc>
  </rcc>
  <rcc rId="2486" sId="1">
    <oc r="F19">
      <f>F28+F20+F24</f>
    </oc>
    <nc r="F19">
      <f>F28+F20+F24+F32</f>
    </nc>
  </rcc>
  <rcc rId="2487" sId="1">
    <oc r="A20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20" t="inlineStr">
      <is>
        <t>Реализация мероприятий по социально-экономическому развитию</t>
      </is>
    </nc>
  </rcc>
  <rcc rId="2488" sId="1">
    <oc r="A177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177" t="inlineStr">
      <is>
        <t>Реализация мероприятий по социально-экономическому развитию</t>
      </is>
    </nc>
  </rcc>
  <rcc rId="2489" sId="1">
    <oc r="A209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209" t="inlineStr">
      <is>
        <t>Реализация мероприятий по социально-экономическому развитию</t>
      </is>
    </nc>
  </rcc>
  <rcc rId="2490" sId="1">
    <oc r="A249" t="inlineStr">
      <is>
        <t>Реализация федеральной целевой программы "Увековечивание памяти погибших при защите Отечества на 2019-2024 годы"</t>
      </is>
    </oc>
    <nc r="A249" t="inlineStr">
      <is>
        <t>Реализация федеральной целевой программы "Увековечение памяти погибших при защите Отечества на 2019-2024 годы"</t>
      </is>
    </nc>
  </rcc>
  <rcc rId="2491" sId="1">
    <oc r="A258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258" t="inlineStr">
      <is>
        <t>Реализация мероприятий по социально-экономическому развитию</t>
      </is>
    </nc>
  </rcc>
  <rcc rId="2492" sId="1">
    <oc r="A289" t="inlineStr">
      <is>
    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формированию торгового реестра</t>
      </is>
    </oc>
    <nc r="A289" t="inlineStr">
      <is>
        <t>Осуществление государственных полномочий по формированию торгового реестра</t>
      </is>
    </nc>
  </rcc>
  <rcc rId="2493" sId="1">
    <oc r="A379" t="inlineStr">
      <is>
    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    </is>
    </oc>
    <nc r="A379" t="inlineStr">
      <is>
        <t>Осуществление государственных полномочий в сфере охраны труда</t>
      </is>
    </nc>
  </rcc>
  <rcc rId="2494" sId="1" numFmtId="34">
    <oc r="D401">
      <v>83700</v>
    </oc>
    <nc r="D401">
      <v>177125</v>
    </nc>
  </rcc>
  <rcc rId="2495" sId="1">
    <oc r="A438" t="inlineStr">
      <is>
    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реформирования жилищно-коммунального хозяйства</t>
      </is>
    </oc>
    <nc r="A438" t="inlineStr">
      <is>
        <t>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    </is>
    </nc>
  </rcc>
  <rcc rId="2496" sId="1">
    <oc r="A447" t="inlineStr">
      <is>
    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    </is>
    </oc>
    <nc r="A447" t="inlineStr">
      <is>
        <t>Обеспечение мероприятий по переселению граждан из аварийного жилищного фонда за счет средств бюджетов субъектов Российской Федерации</t>
      </is>
    </nc>
  </rcc>
  <rcc rId="2497" sId="1">
    <oc r="A463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463" t="inlineStr">
      <is>
        <t>Реализация мероприятий по социально-экономическому развитию</t>
      </is>
    </nc>
  </rcc>
  <rcc rId="2498" sId="1" numFmtId="34">
    <oc r="D502">
      <v>180000</v>
    </oc>
    <nc r="D502">
      <v>719100</v>
    </nc>
  </rcc>
  <rcc rId="2499" sId="1">
    <oc r="A551" t="inlineStr">
      <is>
    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    </is>
    </oc>
    <nc r="A551" t="inlineStr">
      <is>
    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    </is>
    </nc>
  </rcc>
  <rcc rId="2500" sId="1">
    <oc r="A555" t="inlineStr">
      <is>
        <t>Единая субвенция местным бюджетам</t>
      </is>
    </oc>
    <nc r="A555" t="inlineStr">
      <is>
        <t xml:space="preserve">Единая субвенция </t>
      </is>
    </nc>
  </rcc>
  <rcc rId="2501" sId="1">
    <oc r="A565" t="inlineStr">
      <is>
        <t>Осуществление государственных полномочий в сфере административных правонарушений</t>
      </is>
    </oc>
    <nc r="A565" t="inlineStr">
      <is>
    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    </is>
    </nc>
  </rcc>
  <rcc rId="2502" sId="1">
    <oc r="A556" t="inlineStr">
      <is>
        <t>Осуществление  государственных полномочий Архангельской области по созданию комиссий по делам несовершеннолетних и защите их прав</t>
      </is>
    </oc>
    <nc r="A556" t="inlineStr">
      <is>
    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    </is>
    </nc>
  </rcc>
  <rcc rId="2503" sId="1">
    <oc r="A551" t="inlineStr">
      <is>
    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    </is>
    </oc>
    <nc r="A551" t="inlineStr">
      <is>
  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  </is>
    </nc>
  </rcc>
  <rcc rId="2504" sId="1" odxf="1" dxf="1">
    <oc r="B551" t="inlineStr">
      <is>
        <t>54 1 00 Л8690</t>
      </is>
    </oc>
    <nc r="B551" t="inlineStr">
      <is>
        <t>54 1 00 51200</t>
      </is>
    </nc>
    <odxf>
      <border outline="0">
        <top/>
      </border>
    </odxf>
    <ndxf>
      <border outline="0">
        <top style="thin">
          <color indexed="64"/>
        </top>
      </border>
    </ndxf>
  </rcc>
  <rcc rId="2505" sId="1" odxf="1" dxf="1">
    <nc r="C551"/>
    <odxf>
      <numFmt numFmtId="30" formatCode="@"/>
    </odxf>
    <ndxf>
      <numFmt numFmtId="0" formatCode="General"/>
    </ndxf>
  </rcc>
  <rcc rId="2506" sId="1">
    <oc r="D551">
      <f>D553</f>
    </oc>
    <nc r="D551">
      <f>D553</f>
    </nc>
  </rcc>
  <rcc rId="2507" sId="1">
    <oc r="E551">
      <f>E553</f>
    </oc>
    <nc r="E551">
      <f>E553</f>
    </nc>
  </rcc>
  <rcc rId="2508" sId="1">
    <oc r="F551">
      <f>F553</f>
    </oc>
    <nc r="F551">
      <f>F553</f>
    </nc>
  </rcc>
  <rcc rId="2509" sId="1">
    <oc r="A552" t="inlineStr">
      <is>
        <t>Закупка товаров, работ и услуг для обеспечения государственных (муниципальных) нужд</t>
      </is>
    </oc>
    <nc r="A552" t="inlineStr">
      <is>
        <t>Закупка товаров, работ и услуг для обеспечения государственных (муниципальных) нужд</t>
      </is>
    </nc>
  </rcc>
  <rcc rId="2510" sId="1" odxf="1" dxf="1">
    <oc r="B552" t="inlineStr">
      <is>
        <t>54 1 00 Л8690</t>
      </is>
    </oc>
    <nc r="B552" t="inlineStr">
      <is>
        <t>54 1 00 51200</t>
      </is>
    </nc>
    <odxf>
      <border outline="0">
        <top/>
      </border>
    </odxf>
    <ndxf>
      <border outline="0">
        <top style="thin">
          <color indexed="64"/>
        </top>
      </border>
    </ndxf>
  </rcc>
  <rcc rId="2511" sId="1" odxf="1" dxf="1">
    <oc r="C552" t="inlineStr">
      <is>
        <t>200</t>
      </is>
    </oc>
    <nc r="C552">
      <v>200</v>
    </nc>
    <odxf>
      <numFmt numFmtId="30" formatCode="@"/>
    </odxf>
    <ndxf>
      <numFmt numFmtId="0" formatCode="General"/>
    </ndxf>
  </rcc>
  <rcc rId="2512" sId="1">
    <oc r="D552">
      <f>D553</f>
    </oc>
    <nc r="D552">
      <f>D553</f>
    </nc>
  </rcc>
  <rcc rId="2513" sId="1">
    <oc r="E552">
      <f>E553</f>
    </oc>
    <nc r="E552">
      <f>E553</f>
    </nc>
  </rcc>
  <rcc rId="2514" sId="1">
    <oc r="F552">
      <f>F553</f>
    </oc>
    <nc r="F552">
      <f>F553</f>
    </nc>
  </rcc>
  <rcc rId="2515" sId="1">
    <oc r="A553" t="inlineStr">
      <is>
        <t>Иные закупки товаров,работ и услуг для обеспечения государственных (муниципальных) нужд</t>
      </is>
    </oc>
    <nc r="A553" t="inlineStr">
      <is>
        <t>Иные закупки товаров,работ и услуг для обеспечения государственных (муниципальных) нужд</t>
      </is>
    </nc>
  </rcc>
  <rcc rId="2516" sId="1" odxf="1" dxf="1">
    <oc r="B553" t="inlineStr">
      <is>
        <t>54 1 00 Л8690</t>
      </is>
    </oc>
    <nc r="B553" t="inlineStr">
      <is>
        <t>54 1 00 51200</t>
      </is>
    </nc>
    <odxf>
      <border outline="0">
        <top/>
      </border>
    </odxf>
    <ndxf>
      <border outline="0">
        <top style="thin">
          <color indexed="64"/>
        </top>
      </border>
    </ndxf>
  </rcc>
  <rcc rId="2517" sId="1" odxf="1" dxf="1">
    <oc r="C553" t="inlineStr">
      <is>
        <t>240</t>
      </is>
    </oc>
    <nc r="C553">
      <v>240</v>
    </nc>
    <odxf>
      <numFmt numFmtId="30" formatCode="@"/>
    </odxf>
    <ndxf>
      <numFmt numFmtId="0" formatCode="General"/>
    </ndxf>
  </rcc>
  <rcc rId="2518" sId="1">
    <oc r="D553">
      <f>D554</f>
    </oc>
    <nc r="D553">
      <f>D554</f>
    </nc>
  </rcc>
  <rcc rId="2519" sId="1">
    <oc r="E553">
      <f>E554</f>
    </oc>
    <nc r="E553">
      <f>E554</f>
    </nc>
  </rcc>
  <rcc rId="2520" sId="1">
    <oc r="F553">
      <f>F554</f>
    </oc>
    <nc r="F553">
      <f>F554</f>
    </nc>
  </rcc>
  <rcc rId="2521" sId="1" odxf="1" dxf="1">
    <oc r="A554" t="inlineStr">
      <is>
        <t xml:space="preserve">Прочая закупка товаров, работ и услуг </t>
      </is>
    </oc>
    <nc r="A554" t="inlineStr">
      <is>
        <t>Прочая закупка товаров, работ и услуг</t>
      </is>
    </nc>
    <odxf>
      <alignment wrapText="1" readingOrder="0"/>
    </odxf>
    <ndxf>
      <alignment wrapText="0" readingOrder="0"/>
    </ndxf>
  </rcc>
  <rcc rId="2522" sId="1" odxf="1" dxf="1">
    <oc r="B554" t="inlineStr">
      <is>
        <t>54 1 00 Л8690</t>
      </is>
    </oc>
    <nc r="B554" t="inlineStr">
      <is>
        <t>54 1 00 51200</t>
      </is>
    </nc>
    <odxf>
      <border outline="0">
        <top/>
      </border>
    </odxf>
    <ndxf>
      <border outline="0">
        <top style="thin">
          <color indexed="64"/>
        </top>
      </border>
    </ndxf>
  </rcc>
  <rcc rId="2523" sId="1" odxf="1" dxf="1">
    <oc r="C554" t="inlineStr">
      <is>
        <t>244</t>
      </is>
    </oc>
    <nc r="C554">
      <v>244</v>
    </nc>
    <odxf>
      <numFmt numFmtId="30" formatCode="@"/>
    </odxf>
    <ndxf>
      <numFmt numFmtId="0" formatCode="General"/>
    </ndxf>
  </rcc>
  <rcc rId="2524" sId="1" numFmtId="34">
    <oc r="D554">
      <v>28000</v>
    </oc>
    <nc r="D554">
      <v>1481.71</v>
    </nc>
  </rcc>
  <rcc rId="2525" sId="1" numFmtId="34">
    <oc r="E554">
      <v>28000</v>
    </oc>
    <nc r="E554">
      <v>1321.79</v>
    </nc>
  </rcc>
  <rcc rId="2526" sId="1" numFmtId="34">
    <oc r="F554">
      <v>28000</v>
    </oc>
    <nc r="F554">
      <v>1321.95</v>
    </nc>
  </rcc>
  <rcc rId="2527" sId="1" odxf="1" dxf="1">
    <oc r="B551" t="inlineStr">
      <is>
        <t>54 1 00 51200</t>
      </is>
    </oc>
    <nc r="B551" t="inlineStr">
      <is>
        <t>54 1 00 51201</t>
      </is>
    </nc>
    <odxf>
      <fill>
        <patternFill patternType="none">
          <bgColor indexed="65"/>
        </patternFill>
      </fill>
    </odxf>
    <ndxf>
      <fill>
        <patternFill patternType="solid">
          <bgColor indexed="51"/>
        </patternFill>
      </fill>
    </ndxf>
  </rcc>
  <rcc rId="2528" sId="1" odxf="1" dxf="1">
    <oc r="B552" t="inlineStr">
      <is>
        <t>54 1 00 51200</t>
      </is>
    </oc>
    <nc r="B552" t="inlineStr">
      <is>
        <t>54 1 00 51201</t>
      </is>
    </nc>
    <odxf>
      <fill>
        <patternFill patternType="none">
          <bgColor indexed="65"/>
        </patternFill>
      </fill>
    </odxf>
    <ndxf>
      <fill>
        <patternFill patternType="solid">
          <bgColor indexed="51"/>
        </patternFill>
      </fill>
    </ndxf>
  </rcc>
  <rcc rId="2529" sId="1" odxf="1" dxf="1">
    <oc r="B553" t="inlineStr">
      <is>
        <t>54 1 00 51200</t>
      </is>
    </oc>
    <nc r="B553" t="inlineStr">
      <is>
        <t>54 1 00 51201</t>
      </is>
    </nc>
    <odxf>
      <fill>
        <patternFill patternType="none">
          <bgColor indexed="65"/>
        </patternFill>
      </fill>
    </odxf>
    <ndxf>
      <fill>
        <patternFill patternType="solid">
          <bgColor indexed="51"/>
        </patternFill>
      </fill>
    </ndxf>
  </rcc>
  <rcc rId="2530" sId="1" odxf="1" dxf="1">
    <oc r="B554" t="inlineStr">
      <is>
        <t>54 1 00 51200</t>
      </is>
    </oc>
    <nc r="B554" t="inlineStr">
      <is>
        <t>54 1 00 51201</t>
      </is>
    </nc>
    <odxf>
      <fill>
        <patternFill patternType="none">
          <bgColor indexed="65"/>
        </patternFill>
      </fill>
    </odxf>
    <ndxf>
      <fill>
        <patternFill patternType="solid">
          <bgColor indexed="51"/>
        </patternFill>
      </fill>
    </ndxf>
  </rcc>
  <rcc rId="2531" sId="1" numFmtId="34">
    <oc r="D550">
      <v>1481.71</v>
    </oc>
    <nc r="D550">
      <v>0</v>
    </nc>
  </rcc>
  <rcc rId="2532" sId="1" numFmtId="34">
    <oc r="E550">
      <v>1321.79</v>
    </oc>
    <nc r="E550">
      <v>0</v>
    </nc>
  </rcc>
  <rcc rId="2533" sId="1" numFmtId="34">
    <oc r="F550">
      <v>1321.95</v>
    </oc>
    <nc r="F550">
      <v>0</v>
    </nc>
  </rcc>
  <rcc rId="2534" sId="1" numFmtId="34">
    <oc r="D554">
      <v>1481.71</v>
    </oc>
    <nc r="D554">
      <v>5186.05</v>
    </nc>
  </rcc>
  <rcc rId="2535" sId="1" numFmtId="34">
    <oc r="E554">
      <v>1321.79</v>
    </oc>
    <nc r="E554">
      <v>5385.9</v>
    </nc>
  </rcc>
  <rcc rId="2536" sId="1" numFmtId="34">
    <oc r="F554">
      <v>1321.95</v>
    </oc>
    <nc r="F554">
      <v>173249.40000000002</v>
    </nc>
  </rcc>
  <rfmt sheetId="1" sqref="B551:B554" start="0" length="0">
    <dxf>
      <fill>
        <patternFill patternType="none">
          <bgColor indexed="65"/>
        </patternFill>
      </fill>
    </dxf>
  </rfmt>
  <rcc rId="2537" sId="1" numFmtId="34">
    <oc r="D590">
      <f>998128.06-111540.89</f>
    </oc>
    <nc r="D590">
      <v>16008611.709999999</v>
    </nc>
  </rcc>
  <rrc rId="2538" sId="1" ref="A591:XFD593" action="insertRow"/>
  <rcc rId="2539" sId="1">
    <nc r="A591" t="inlineStr">
      <is>
        <t>Социальное обеспечение и иные выплаты населению</t>
      </is>
    </nc>
  </rcc>
  <rcc rId="2540" sId="1">
    <nc r="A592" t="inlineStr">
      <is>
        <t>Социальные выплаты гражданам, кроме публичных нормативных социальных выплат</t>
      </is>
    </nc>
  </rcc>
  <rrc rId="2541" sId="1" ref="A593:XFD593" action="deleteRow">
    <rfmt sheetId="1" xfDxf="1" sqref="A593:IV593" start="0" length="0">
      <dxf>
        <font>
          <name val="Times New Roman"/>
          <scheme val="none"/>
        </font>
      </dxf>
    </rfmt>
    <rfmt sheetId="1" sqref="A593" start="0" length="0">
      <dxf>
        <alignment horizontal="justify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593" start="0" length="0">
      <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593" start="0" length="0">
      <dxf>
        <numFmt numFmtId="171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593" start="0" length="0">
      <dxf>
        <numFmt numFmtId="171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93" start="0" length="0">
      <dxf>
        <numFmt numFmtId="171" formatCode="_-* #,##0.00_р_._-;\-* #,##0.00_р_._-;_-* &quot;-&quot;??_р_._-;_-@_-"/>
        <alignment vertical="center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42" sId="1">
    <nc r="B591" t="inlineStr">
      <is>
        <t>55 0 00 81400</t>
      </is>
    </nc>
  </rcc>
  <rcc rId="2543" sId="1" numFmtId="30">
    <nc r="C591">
      <v>300</v>
    </nc>
  </rcc>
  <rcc rId="2544" sId="1">
    <nc r="B592" t="inlineStr">
      <is>
        <t>55 0 00 81400</t>
      </is>
    </nc>
  </rcc>
  <rcc rId="2545" sId="1" numFmtId="30">
    <nc r="C592">
      <v>320</v>
    </nc>
  </rcc>
  <rcc rId="2546" sId="1" numFmtId="34">
    <nc r="D592">
      <v>20000</v>
    </nc>
  </rcc>
  <rcc rId="2547" sId="1" numFmtId="34">
    <nc r="E592">
      <v>0</v>
    </nc>
  </rcc>
  <rcc rId="2548" sId="1" numFmtId="34">
    <nc r="F592">
      <v>0</v>
    </nc>
  </rcc>
  <rcc rId="2549" sId="1">
    <nc r="D591">
      <f>D592</f>
    </nc>
  </rcc>
  <rcc rId="2550" sId="1">
    <nc r="E591">
      <f>E592</f>
    </nc>
  </rcc>
  <rcc rId="2551" sId="1">
    <nc r="F591">
      <f>F592</f>
    </nc>
  </rcc>
  <rcc rId="2552" sId="1">
    <oc r="D588">
      <f>D590</f>
    </oc>
    <nc r="D588">
      <f>D589+D591</f>
    </nc>
  </rcc>
  <rcc rId="2553" sId="1">
    <oc r="E588">
      <f>E590</f>
    </oc>
    <nc r="E588">
      <f>E589+E591</f>
    </nc>
  </rcc>
  <rcc rId="2554" sId="1">
    <oc r="F588">
      <f>F590</f>
    </oc>
    <nc r="F588">
      <f>F589+F591</f>
    </nc>
  </rcc>
  <rcc rId="2555" sId="1">
    <oc r="D587">
      <f>SUM(D588)</f>
    </oc>
    <nc r="D587">
      <f>SUM(D588)</f>
    </nc>
  </rcc>
  <rcc rId="2556" sId="1">
    <oc r="A594" t="inlineStr">
      <is>
    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    </is>
    </oc>
    <nc r="A594" t="inlineStr">
      <is>
        <t>Осуществление первичного воинского учета органами местного самоуправления поселений, муниципальных и городских округов</t>
      </is>
    </nc>
  </rcc>
  <rcc rId="2557" sId="1">
    <oc r="A625" t="inlineStr">
      <is>
    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    </is>
    </oc>
    <nc r="A625" t="inlineStr">
      <is>
        <t>Реализация мероприятий по социально-экономическому развитию</t>
      </is>
    </nc>
  </rcc>
  <rcc rId="2558" sId="1">
    <oc r="A676" t="inlineStr">
      <is>
    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    </is>
    </oc>
    <nc r="A676" t="inlineStr">
      <is>
    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    </is>
    </nc>
  </rcc>
  <rcc rId="2559" sId="1">
    <oc r="A681" t="inlineStr">
      <is>
        <t>Единая субвенция бюджетам муниципальных районов, муниципальных округов и городских округов Архангельской области</t>
      </is>
    </oc>
    <nc r="A681" t="inlineStr">
      <is>
        <t>Единая субвенция</t>
      </is>
    </nc>
  </rcc>
  <rcc rId="2560" sId="1">
    <oc r="A691" t="inlineStr">
      <is>
    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    </is>
    </oc>
    <nc r="A691" t="inlineStr">
      <is>
        <t>Осуществление государственных полномочий по выплате вознаграждений профессиональным опекунам</t>
      </is>
    </nc>
  </rcc>
  <rcc rId="2561" sId="1">
    <oc r="A663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    </is>
    </oc>
    <nc r="A663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  </is>
    </nc>
  </rcc>
  <rcc rId="2562" sId="1">
    <oc r="A667" t="inlineStr">
      <is>
        <t>Субвенции бюджетам муниципальных районов, муниципальных округов и городских округов Архангельской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    </is>
    </oc>
    <nc r="A667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    </is>
    </nc>
  </rcc>
  <rcc rId="2563" sId="1">
    <oc r="A671" t="inlineStr">
      <is>
        <t>Субвенции бюджетам муниципальных районов, муниципальных округов и городских округов Архангельской области на 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    </is>
    </oc>
    <nc r="A671" t="inlineStr">
      <is>
    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    </is>
    </nc>
  </rcc>
  <rcc rId="2564" sId="1" numFmtId="34">
    <oc r="D670">
      <v>4428772.83</v>
    </oc>
    <nc r="D670">
      <v>4427614.2</v>
    </nc>
  </rcc>
  <rcc rId="2565" sId="1" numFmtId="34">
    <oc r="E670">
      <v>2555040.48</v>
    </oc>
    <nc r="E670">
      <v>2683652.1</v>
    </nc>
  </rcc>
  <rcc rId="2566" sId="1" numFmtId="34">
    <oc r="F670">
      <v>2555040.48</v>
    </oc>
    <nc r="F670">
      <v>2683722.08</v>
    </nc>
  </rcc>
  <rcc rId="2567" sId="1" numFmtId="34">
    <oc r="D705">
      <v>12927368.93</v>
    </oc>
    <nc r="D705">
      <v>19945958.699999999</v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8" sId="1" numFmtId="34">
    <oc r="D379">
      <v>24382739.399999999</v>
    </oc>
    <nc r="D379">
      <v>24376545.23</v>
    </nc>
  </rcc>
  <rcc rId="3699" sId="1" numFmtId="34">
    <oc r="D384">
      <v>212877.87</v>
    </oc>
    <nc r="D384">
      <v>236759.26</v>
    </nc>
  </rcc>
  <rcc rId="3700" sId="1" numFmtId="34">
    <oc r="E384">
      <v>213126.22</v>
    </oc>
    <nc r="E384">
      <v>234666.55</v>
    </nc>
  </rcc>
  <rcc rId="3701" sId="1" numFmtId="34">
    <oc r="F384">
      <v>224776.19</v>
    </oc>
    <nc r="F384">
      <v>241402.04</v>
    </nc>
  </rcc>
  <rcc rId="3702" sId="1" numFmtId="34">
    <oc r="D392">
      <v>127853.87</v>
    </oc>
    <nc r="D392">
      <v>165914.20000000001</v>
    </nc>
  </rcc>
  <rcc rId="3703" sId="1" numFmtId="34">
    <oc r="E392">
      <v>127853.87</v>
    </oc>
    <nc r="E392">
      <v>162108.17000000001</v>
    </nc>
  </rcc>
  <rcc rId="3704" sId="1" numFmtId="34">
    <oc r="F392">
      <v>127853.87</v>
    </oc>
    <nc r="F392">
      <v>162108.17000000001</v>
    </nc>
  </rcc>
  <rcc rId="3705" sId="1" numFmtId="34">
    <oc r="D424">
      <v>4049967.12</v>
    </oc>
    <nc r="D424">
      <v>5252591.24</v>
    </nc>
  </rcc>
  <rcc rId="3706" sId="1" numFmtId="34">
    <oc r="D425">
      <v>100000</v>
    </oc>
    <nc r="D425">
      <v>120655.72</v>
    </nc>
  </rcc>
  <rcc rId="3707" sId="1" numFmtId="34">
    <oc r="D426">
      <v>1223090.07</v>
    </oc>
    <nc r="D426">
      <v>1586282.55</v>
    </nc>
  </rcc>
  <rcc rId="3708" sId="1" numFmtId="34">
    <oc r="D429">
      <v>322996.43</v>
    </oc>
    <nc r="D429">
      <v>332996.43</v>
    </nc>
  </rcc>
  <rcc rId="3709" sId="1" numFmtId="34">
    <oc r="D440">
      <v>756000</v>
    </oc>
    <nc r="D440">
      <v>153035</v>
    </nc>
  </rcc>
  <rcc rId="3710" sId="1" numFmtId="34">
    <nc r="D444">
      <v>1512000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1" sId="1" numFmtId="34">
    <oc r="D482">
      <v>1430148.63</v>
    </oc>
    <nc r="D482">
      <f>55099.99+1375048.64</f>
    </nc>
  </rcc>
  <rcc rId="3712" sId="1" numFmtId="34">
    <nc r="D486">
      <v>28325</v>
    </nc>
  </rcc>
  <rcc rId="3713" sId="1" numFmtId="34">
    <nc r="E486">
      <v>20461.62</v>
    </nc>
  </rcc>
  <rcc rId="3714" sId="1" numFmtId="34">
    <nc r="F486">
      <v>20461.62</v>
    </nc>
  </rcc>
  <rcc rId="3715" sId="1" numFmtId="34">
    <oc r="D491">
      <v>111423.51</v>
    </oc>
    <nc r="D491"/>
  </rcc>
  <rcc rId="3716" sId="1" numFmtId="34">
    <nc r="D495">
      <v>5042333.07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7" sId="1" numFmtId="34">
    <nc r="D509">
      <v>45921098.280000001</v>
    </nc>
  </rcc>
  <rcc rId="3718" sId="1" numFmtId="34">
    <oc r="D505">
      <v>1871.94</v>
    </oc>
    <nc r="D505"/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9" sId="1" numFmtId="34">
    <oc r="D526">
      <v>17061392.32</v>
    </oc>
    <nc r="D526">
      <v>3353991.2</v>
    </nc>
  </rcc>
  <rcc rId="3720" sId="1" numFmtId="34">
    <oc r="D535">
      <v>348191.68</v>
    </oc>
    <nc r="D535">
      <v>68448.800000000003</v>
    </nc>
  </rcc>
  <rcc rId="3721" sId="1" numFmtId="34">
    <oc r="D538">
      <v>0</v>
    </oc>
    <nc r="D538">
      <v>141284</v>
    </nc>
  </rcc>
  <rcc rId="3722" sId="1" numFmtId="34">
    <oc r="D531">
      <v>0</v>
    </oc>
    <nc r="D531">
      <v>7287280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3" sId="1" numFmtId="34">
    <oc r="D562">
      <v>11583650.4</v>
    </oc>
    <nc r="D562">
      <f>10307073.16</f>
    </nc>
  </rcc>
  <rcc rId="3724" sId="1" numFmtId="34">
    <oc r="D564">
      <v>3498262.42</v>
    </oc>
    <nc r="D564">
      <v>3112736.09</v>
    </nc>
  </rcc>
  <rcc rId="3725" sId="1" numFmtId="34">
    <oc r="D567">
      <v>940800</v>
    </oc>
    <nc r="D567">
      <v>893200</v>
    </nc>
  </rcc>
  <rcc rId="3726" sId="1" numFmtId="34">
    <oc r="D578">
      <f>14735000+7094414.27-538300</f>
    </oc>
    <nc r="D578">
      <v>19791114.27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7" sId="1" numFmtId="34">
    <oc r="D618">
      <v>886257.6</v>
    </oc>
    <nc r="D618">
      <f>886257.6</f>
    </nc>
  </rcc>
  <rcc rId="3728" sId="1" numFmtId="34">
    <oc r="D674">
      <v>100000</v>
    </oc>
    <nc r="D674">
      <v>0</v>
    </nc>
  </rcc>
  <rcc rId="3729" sId="1">
    <oc r="E666">
      <v>94977988.599999994</v>
    </oc>
    <nc r="E666">
      <f>72596636.05+22381352.55</f>
    </nc>
  </rcc>
  <rcc rId="3730" sId="1">
    <oc r="F666">
      <v>95927768.489999995</v>
    </oc>
    <nc r="F666">
      <f>73322602.41+22605166.08</f>
    </nc>
  </rcc>
  <rcc rId="3731" sId="1">
    <oc r="E667">
      <v>2218000</v>
    </oc>
    <nc r="E667">
      <f>1800000+418000</f>
    </nc>
  </rcc>
  <rcc rId="3732" sId="1">
    <oc r="F667">
      <v>2218000</v>
    </oc>
    <nc r="F667">
      <f>1800000+418000</f>
    </nc>
  </rcc>
  <rcc rId="3733" sId="1">
    <oc r="E668">
      <v>28683352.559999999</v>
    </oc>
    <nc r="E668">
      <f>21924184.09+6759168.47</f>
    </nc>
  </rcc>
  <rcc rId="3734" sId="1">
    <oc r="F668">
      <v>28970186.079999998</v>
    </oc>
    <nc r="F668">
      <f>22143425.93+6826760.15</f>
    </nc>
  </rcc>
  <rcc rId="3735" sId="1">
    <oc r="E671">
      <v>8557755.3699999992</v>
    </oc>
    <nc r="E671">
      <f>6278755.37+2129000</f>
    </nc>
  </rcc>
  <rcc rId="3736" sId="1">
    <oc r="F671">
      <v>8557755.3699999992</v>
    </oc>
    <nc r="F671">
      <f>6278755.37+2129000</f>
    </nc>
  </rcc>
  <rcc rId="3737" sId="1">
    <oc r="D675">
      <v>304500</v>
    </oc>
    <nc r="D675">
      <f>107973.65+4500</f>
    </nc>
  </rcc>
  <rcc rId="3738" sId="1">
    <oc r="E675">
      <v>605000</v>
    </oc>
    <nc r="E675">
      <f>600000+5000</f>
    </nc>
  </rcc>
  <rcc rId="3739" sId="1">
    <oc r="F675">
      <v>605000</v>
    </oc>
    <nc r="F675">
      <f>600000+5000</f>
    </nc>
  </rcc>
  <rcc rId="3740" sId="1">
    <oc r="D666">
      <v>94977988.599999994</v>
    </oc>
    <nc r="D666">
      <f>65587443.85+19854019.55+9610478.32</f>
    </nc>
  </rcc>
  <rcc rId="3741" sId="1">
    <oc r="D667">
      <v>1738440</v>
    </oc>
    <nc r="D667">
      <f>1196994.24+376200+144590.04</f>
    </nc>
  </rcc>
  <rcc rId="3742" sId="1">
    <oc r="D668">
      <v>28683352.559999999</v>
    </oc>
    <nc r="D668">
      <f>19807408.16+5995913.89+2902364.36</f>
    </nc>
  </rcc>
  <rcc rId="3743" sId="1">
    <oc r="D671">
      <v>8344855.3700000001</v>
    </oc>
    <nc r="D671">
      <f>5905135.47+1916100+411000</f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4" sId="1">
    <oc r="D671">
      <f>5905135.47+1916100+411000</f>
    </oc>
    <nc r="D671">
      <f>5905135.47+1916100+411000+150000</f>
    </nc>
  </rcc>
  <rcc rId="3745" sId="1">
    <oc r="E671">
      <f>6278755.37+2129000</f>
    </oc>
    <nc r="E671">
      <f>6278755.37+2129000+150000</f>
    </nc>
  </rcc>
  <rcc rId="3746" sId="1">
    <oc r="F671">
      <f>6278755.37+2129000</f>
    </oc>
    <nc r="F671">
      <f>6278755.37+2129000+150000</f>
    </nc>
  </rcc>
  <rcc rId="3747" sId="1" numFmtId="34">
    <oc r="D679">
      <f>16008611.71-2100000+3285769.73-7094414.27-9233380-20000</f>
    </oc>
    <nc r="D679">
      <v>469756.4</v>
    </nc>
  </rcc>
  <rrc rId="3748" sId="1" ref="A680:XFD680" action="insertRow"/>
  <rrc rId="3749" sId="1" ref="A680:XFD680" action="insertRow"/>
  <rcc rId="3750" sId="1">
    <nc r="B680" t="inlineStr">
      <is>
        <t>55 0 00 81400</t>
      </is>
    </nc>
  </rcc>
  <rcc rId="3751" sId="1">
    <nc r="B681" t="inlineStr">
      <is>
        <t>55 0 00 81400</t>
      </is>
    </nc>
  </rcc>
  <rcc rId="3752" sId="1" numFmtId="34">
    <oc r="D683">
      <f>20000+20000</f>
    </oc>
    <nc r="D683">
      <v>280000</v>
    </nc>
  </rcc>
  <rcc rId="3753" sId="1">
    <nc r="C681" t="inlineStr">
      <is>
        <t>244</t>
      </is>
    </nc>
  </rcc>
  <rcc rId="3754" sId="1">
    <nc r="C680" t="inlineStr">
      <is>
        <t>240</t>
      </is>
    </nc>
  </rcc>
  <rrc rId="3755" sId="1" ref="A680:XFD680" action="insertRow"/>
  <rcc rId="3756" sId="1">
    <nc r="C680" t="inlineStr">
      <is>
        <t>200</t>
      </is>
    </nc>
  </rcc>
  <rcc rId="3757" sId="1" xfDxf="1" dxf="1">
    <nc r="A682" t="inlineStr">
      <is>
        <t>Прочая закупка товаров, работ и услуг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58" sId="1" xfDxf="1" dxf="1">
    <nc r="A681" t="inlineStr">
      <is>
        <t>Иные закупки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59" sId="1" xfDxf="1" dxf="1">
    <nc r="A680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60" sId="1">
    <nc r="B680" t="inlineStr">
      <is>
        <t>55 0 00 81400</t>
      </is>
    </nc>
  </rcc>
  <rcc rId="3761" sId="1">
    <nc r="D680">
      <f>D681</f>
    </nc>
  </rcc>
  <rcc rId="3762" sId="1">
    <nc r="D681">
      <f>D682</f>
    </nc>
  </rcc>
  <rcc rId="3763" sId="1">
    <nc r="E681">
      <f>E682</f>
    </nc>
  </rcc>
  <rcc rId="3764" sId="1">
    <nc r="F681">
      <f>F682</f>
    </nc>
  </rcc>
  <rcc rId="3765" sId="1">
    <nc r="E680">
      <f>E681</f>
    </nc>
  </rcc>
  <rcc rId="3766" sId="1">
    <nc r="F680">
      <f>F681</f>
    </nc>
  </rcc>
  <rcc rId="3767" sId="1">
    <nc r="D682">
      <f>338824</f>
    </nc>
  </rcc>
  <rrc rId="3768" sId="1" ref="A677:XFD677" action="insertRow"/>
  <rrc rId="3769" sId="1" ref="A677:XFD677" action="insertRow"/>
  <rrc rId="3770" sId="1" ref="A677:XFD677" action="insertRow"/>
  <rcc rId="3771" sId="1" xfDxf="1" dxf="1">
    <nc r="A677" t="inlineStr">
      <is>
        <t>Закупка товаров, работ и услуг для обеспечения государственных (муниципальных) нужд</t>
      </is>
    </nc>
    <ndxf>
      <font>
        <b/>
        <i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72" sId="1" xfDxf="1" dxf="1">
    <nc r="A678" t="inlineStr">
      <is>
        <t>Иные закупки товаров, работ и услуг для обеспечения государственных (муниципальных) нужд</t>
      </is>
    </nc>
    <ndxf>
      <font>
        <b/>
        <i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73" sId="1" xfDxf="1" dxf="1">
    <nc r="A679" t="inlineStr">
      <is>
        <t>Прочая закупка товаров, работ и услуг</t>
      </is>
    </nc>
    <ndxf>
      <font>
        <b/>
        <i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774" sId="1">
    <nc r="B677" t="inlineStr">
      <is>
        <t>55 0 00 71400</t>
      </is>
    </nc>
  </rcc>
  <rfmt sheetId="1" sqref="A677:D679" start="0" length="2147483647">
    <dxf>
      <font>
        <b val="0"/>
      </font>
    </dxf>
  </rfmt>
  <rfmt sheetId="1" sqref="A677:D679" start="0" length="2147483647">
    <dxf>
      <font>
        <i val="0"/>
      </font>
    </dxf>
  </rfmt>
  <rcc rId="3775" sId="1">
    <nc r="B678" t="inlineStr">
      <is>
        <t>55 0 00 71400</t>
      </is>
    </nc>
  </rcc>
  <rcc rId="3776" sId="1">
    <nc r="B679" t="inlineStr">
      <is>
        <t>55 0 00 71400</t>
      </is>
    </nc>
  </rcc>
  <rcc rId="3777" sId="1" numFmtId="34">
    <nc r="C679">
      <v>244</v>
    </nc>
  </rcc>
  <rcc rId="3778" sId="1" numFmtId="34">
    <nc r="C678">
      <v>240</v>
    </nc>
  </rcc>
  <rcc rId="3779" sId="1" numFmtId="34">
    <nc r="C677">
      <v>200</v>
    </nc>
  </rcc>
  <rfmt sheetId="1" sqref="C677:C679">
    <dxf>
      <numFmt numFmtId="30" formatCode="@"/>
    </dxf>
  </rfmt>
  <rrc rId="3780" sId="1" ref="A677:XFD677" action="insertRow"/>
  <rfmt sheetId="1" xfDxf="1" sqref="A677" start="0" length="0">
    <dxf>
      <font>
        <b/>
        <i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1" sqref="A677" start="0" length="2147483647">
    <dxf>
      <font>
        <b val="0"/>
      </font>
    </dxf>
  </rfmt>
  <rfmt sheetId="1" sqref="A677" start="0" length="2147483647">
    <dxf>
      <font>
        <i val="0"/>
      </font>
    </dxf>
  </rfmt>
  <rcc rId="3781" sId="1">
    <nc r="A677" t="inlineStr">
      <is>
        <t>Резервный фонд Правительства Архангельской области</t>
      </is>
    </nc>
  </rcc>
  <rcc rId="3782" sId="1">
    <nc r="B677" t="inlineStr">
      <is>
        <t>55 0 00 71400</t>
      </is>
    </nc>
  </rcc>
  <rfmt sheetId="1" sqref="B677" start="0" length="2147483647">
    <dxf>
      <font>
        <b val="0"/>
      </font>
    </dxf>
  </rfmt>
  <rfmt sheetId="1" sqref="B677" start="0" length="2147483647">
    <dxf>
      <font>
        <i val="0"/>
      </font>
    </dxf>
  </rfmt>
  <rcc rId="3783" sId="1">
    <nc r="D679">
      <f>D680</f>
    </nc>
  </rcc>
  <rcc rId="3784" sId="1" odxf="1" dxf="1">
    <nc r="E679">
      <f>E680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785" sId="1" odxf="1" dxf="1">
    <nc r="F679">
      <f>F680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786" sId="1">
    <nc r="D678">
      <f>D679</f>
    </nc>
  </rcc>
  <rcc rId="3787" sId="1" odxf="1" dxf="1">
    <nc r="E678">
      <f>E679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788" sId="1" odxf="1" dxf="1">
    <nc r="F678">
      <f>F679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789" sId="1">
    <nc r="D677">
      <f>D678</f>
    </nc>
  </rcc>
  <rcc rId="3790" sId="1">
    <nc r="E677">
      <f>E678</f>
    </nc>
  </rcc>
  <rcc rId="3791" sId="1">
    <nc r="F677">
      <f>F678</f>
    </nc>
  </rcc>
  <rcc rId="3792" sId="1">
    <oc r="D676">
      <f>SUM(D681)</f>
    </oc>
    <nc r="D676">
      <f>SUM(D681+D677)</f>
    </nc>
  </rcc>
  <rcc rId="3793" sId="1">
    <oc r="D681">
      <f>D682+D687</f>
    </oc>
    <nc r="D681">
      <f>D682+D687+D684</f>
    </nc>
  </rcc>
  <rcc rId="3794" sId="1">
    <oc r="E681">
      <f>E682+E687</f>
    </oc>
    <nc r="E681">
      <f>E682+E687+E684</f>
    </nc>
  </rcc>
  <rcc rId="3795" sId="1">
    <oc r="F681">
      <f>F682+F687</f>
    </oc>
    <nc r="F681">
      <f>F682+F687+F684</f>
    </nc>
  </rcc>
  <rcc rId="3796" sId="1" numFmtId="34">
    <nc r="D680">
      <v>165237.28</v>
    </nc>
  </rcc>
  <rfmt sheetId="1" sqref="A677:E677" start="0" length="2147483647">
    <dxf>
      <font>
        <b val="0"/>
      </font>
    </dxf>
  </rfmt>
  <rfmt sheetId="1" sqref="A677:E677" start="0" length="2147483647">
    <dxf>
      <font>
        <i val="0"/>
      </font>
    </dxf>
  </rfmt>
  <rcv guid="{D9B90A86-BE39-4FED-8226-084809D277F3}" action="delete"/>
  <rdn rId="0" localSheetId="1" customView="1" name="Z_D9B90A86_BE39_4FED_8226_084809D277F3_.wvu.PrintArea" hidden="1" oldHidden="1">
    <formula>'программы '!$A$1:$F$860</formula>
    <oldFormula>'программы '!$A$1:$F$860</oldFormula>
  </rdn>
  <rdn rId="0" localSheetId="1" customView="1" name="Z_D9B90A86_BE39_4FED_8226_084809D277F3_.wvu.Rows" hidden="1" oldHidden="1">
    <formula>'программы '!$278:$282</formula>
    <oldFormula>'программы '!$278:$282</oldFormula>
  </rdn>
  <rdn rId="0" localSheetId="1" customView="1" name="Z_D9B90A86_BE39_4FED_8226_084809D277F3_.wvu.FilterData" hidden="1" oldHidden="1">
    <formula>'программы '!$A$1:$A$873</formula>
    <oldFormula>'программы '!$A$1:$A$873</oldFormula>
  </rdn>
  <rcv guid="{D9B90A86-BE39-4FED-8226-084809D277F3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0" sId="1">
    <oc r="B677" t="inlineStr">
      <is>
        <t>55 0 00 71400</t>
      </is>
    </oc>
    <nc r="B677" t="inlineStr">
      <is>
        <t>55 0 00 00000</t>
      </is>
    </nc>
  </rcc>
  <rrc rId="3801" sId="1" ref="A678:XFD678" action="insertRow"/>
  <rcc rId="3802" sId="1">
    <nc r="B678" t="inlineStr">
      <is>
        <t>55 0 00 71400</t>
      </is>
    </nc>
  </rcc>
  <rcc rId="3803" sId="1" xfDxf="1" dxf="1">
    <nc r="A678" t="inlineStr">
      <is>
        <t>Резервный фонд Правительства Архангельской области</t>
      </is>
    </nc>
    <ndxf>
      <font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804" sId="1">
    <oc r="A677" t="inlineStr">
      <is>
        <t>Резервный фонд Правительства Архангельской области</t>
      </is>
    </oc>
    <nc r="A677" t="inlineStr">
      <is>
        <t xml:space="preserve">Резервный фонд </t>
      </is>
    </nc>
  </rcc>
  <rcc rId="3805" sId="1">
    <oc r="D677">
      <f>D679</f>
    </oc>
    <nc r="D677">
      <f>D678</f>
    </nc>
  </rcc>
  <rcc rId="3806" sId="1">
    <oc r="E677">
      <f>E679</f>
    </oc>
    <nc r="E677">
      <f>E678</f>
    </nc>
  </rcc>
  <rcc rId="3807" sId="1" odxf="1" dxf="1">
    <oc r="F677">
      <f>F679</f>
    </oc>
    <nc r="F677">
      <f>F678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808" sId="1">
    <nc r="D678">
      <f>D679</f>
    </nc>
  </rcc>
  <rcc rId="3809" sId="1">
    <nc r="E678">
      <f>E679</f>
    </nc>
  </rcc>
  <rcc rId="3810" sId="1" odxf="1" dxf="1">
    <nc r="F678">
      <f>F679</f>
    </nc>
    <odxf>
      <font>
        <b/>
        <i/>
        <name val="Times New Roman"/>
        <scheme val="none"/>
      </font>
    </odxf>
    <ndxf>
      <font>
        <b val="0"/>
        <i val="0"/>
        <name val="Times New Roman"/>
        <scheme val="none"/>
      </font>
    </ndxf>
  </rcc>
  <rcc rId="3811" sId="1" numFmtId="34">
    <oc r="D694">
      <v>1982310.71</v>
    </oc>
    <nc r="D694">
      <v>2079004.63</v>
    </nc>
  </rcc>
  <rcc rId="3812" sId="1" numFmtId="34">
    <oc r="E694">
      <v>2061636.25</v>
    </oc>
    <nc r="E694">
      <v>2310476.25</v>
    </nc>
  </rcc>
  <rcc rId="3813" sId="1" numFmtId="34">
    <oc r="F694">
      <v>2144155.2599999998</v>
    </oc>
    <nc r="F694">
      <v>2538296.96</v>
    </nc>
  </rcc>
  <rcc rId="3814" sId="1" numFmtId="34">
    <oc r="D696">
      <v>598657.84</v>
    </oc>
    <nc r="D696">
      <v>627895.22</v>
    </nc>
  </rcc>
  <rcc rId="3815" sId="1" numFmtId="34">
    <oc r="E696">
      <v>622614.15</v>
    </oc>
    <nc r="E696">
      <v>697155.35</v>
    </nc>
  </rcc>
  <rcc rId="3816" sId="1" numFmtId="34">
    <oc r="F696">
      <v>647534.89</v>
    </oc>
    <nc r="F696">
      <v>758616.24</v>
    </nc>
  </rcc>
  <rcv guid="{D9B90A86-BE39-4FED-8226-084809D277F3}" action="delete"/>
  <rdn rId="0" localSheetId="1" customView="1" name="Z_D9B90A86_BE39_4FED_8226_084809D277F3_.wvu.PrintArea" hidden="1" oldHidden="1">
    <formula>'программы '!$A$1:$F$861</formula>
    <oldFormula>'программы '!$A$1:$F$861</oldFormula>
  </rdn>
  <rdn rId="0" localSheetId="1" customView="1" name="Z_D9B90A86_BE39_4FED_8226_084809D277F3_.wvu.Rows" hidden="1" oldHidden="1">
    <formula>'программы '!$278:$282</formula>
    <oldFormula>'программы '!$278:$282</oldFormula>
  </rdn>
  <rdn rId="0" localSheetId="1" customView="1" name="Z_D9B90A86_BE39_4FED_8226_084809D277F3_.wvu.FilterData" hidden="1" oldHidden="1">
    <formula>'программы '!$A$1:$A$874</formula>
    <oldFormula>'программы '!$A$1:$A$874</oldFormula>
  </rdn>
  <rcv guid="{D9B90A86-BE39-4FED-8226-084809D277F3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0" sId="1" numFmtId="34">
    <oc r="D711">
      <v>124100</v>
    </oc>
    <nc r="D711">
      <v>188933.33</v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1" sId="1" numFmtId="34">
    <oc r="D725">
      <f>8000000+4000000</f>
    </oc>
    <nc r="D725">
      <v>8000000</v>
    </nc>
  </rcc>
  <rcc rId="3822" sId="1">
    <oc r="D742">
      <v>2071897</v>
    </oc>
    <nc r="D742">
      <f>1341897+730000</f>
    </nc>
  </rcc>
  <rcc rId="3823" sId="1" numFmtId="34">
    <oc r="E742">
      <v>2071897</v>
    </oc>
    <nc r="E742">
      <f>1341897+730000</f>
    </nc>
  </rcc>
  <rcc rId="3824" sId="1" numFmtId="34">
    <oc r="F742">
      <v>2071897</v>
    </oc>
    <nc r="F742">
      <f>1341897+730000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>
  <rcc rId="2568" sId="1">
    <oc r="F4" t="inlineStr">
      <is>
        <t xml:space="preserve">от 19 декабря 2023 года №183 </t>
      </is>
    </oc>
    <nc r="F4" t="inlineStr">
      <is>
        <t xml:space="preserve">от                   2024 года № </t>
      </is>
    </nc>
  </rcc>
  <rcv guid="{9A752CC5-36AC-48BE-BF4B-1A38C4015906}" action="delete"/>
  <rdn rId="0" localSheetId="1" customView="1" name="Z_9A752CC5_36AC_48BE_BF4B_1A38C4015906_.wvu.FilterData" hidden="1" oldHidden="1">
    <formula>'программы '!$B$1:$B$737</formula>
    <oldFormula>'программы '!$B$1:$B$737</oldFormula>
  </rdn>
  <rcv guid="{9A752CC5-36AC-48BE-BF4B-1A38C4015906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5" sId="1" numFmtId="34">
    <oc r="D761">
      <v>3238185.37</v>
    </oc>
    <nc r="D761">
      <v>566700</v>
    </nc>
  </rcc>
  <rcc rId="3826" sId="1" numFmtId="34">
    <nc r="D773">
      <v>47200000</v>
    </nc>
  </rcc>
  <rcc rId="3827" sId="1" numFmtId="34">
    <nc r="D769">
      <v>993300</v>
    </nc>
  </rcc>
  <rcc rId="3828" sId="1" numFmtId="34">
    <nc r="D765">
      <v>1678185.37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9" sId="1" numFmtId="34">
    <nc r="D778">
      <v>292246.25</v>
    </nc>
  </rcc>
  <rcv guid="{D9B90A86-BE39-4FED-8226-084809D277F3}" action="delete"/>
  <rdn rId="0" localSheetId="1" customView="1" name="Z_D9B90A86_BE39_4FED_8226_084809D277F3_.wvu.PrintArea" hidden="1" oldHidden="1">
    <formula>'программы '!$A$1:$F$861</formula>
    <oldFormula>'программы '!$A$1:$F$861</oldFormula>
  </rdn>
  <rdn rId="0" localSheetId="1" customView="1" name="Z_D9B90A86_BE39_4FED_8226_084809D277F3_.wvu.Rows" hidden="1" oldHidden="1">
    <formula>'программы '!$278:$282</formula>
    <oldFormula>'программы '!$278:$282</oldFormula>
  </rdn>
  <rdn rId="0" localSheetId="1" customView="1" name="Z_D9B90A86_BE39_4FED_8226_084809D277F3_.wvu.FilterData" hidden="1" oldHidden="1">
    <formula>'программы '!$A$1:$A$874</formula>
    <oldFormula>'программы '!$A$1:$A$874</oldFormula>
  </rdn>
  <rcv guid="{D9B90A86-BE39-4FED-8226-084809D277F3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3" sId="1" numFmtId="34">
    <nc r="D788">
      <v>3209339.93</v>
    </nc>
  </rcc>
  <rcc rId="3834" sId="1" numFmtId="34">
    <nc r="E788">
      <v>3383534.85</v>
    </nc>
  </rcc>
  <rcc rId="3835" sId="1" numFmtId="34">
    <nc r="F788">
      <v>3411798.35</v>
    </nc>
  </rcc>
  <rcc rId="3836" sId="1" numFmtId="34">
    <oc r="D784">
      <v>3197753.69</v>
    </oc>
    <nc r="D784"/>
  </rcc>
  <rcc rId="3837" sId="1" numFmtId="34">
    <oc r="E784">
      <v>3375108.53</v>
    </oc>
    <nc r="E784"/>
  </rcc>
  <rcc rId="3838" sId="1" numFmtId="34">
    <oc r="F784">
      <v>3492844.87</v>
    </oc>
    <nc r="F784"/>
  </rcc>
  <rcc rId="3839" sId="1" numFmtId="34">
    <nc r="D842">
      <v>100000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0" sId="1" numFmtId="34">
    <oc r="D839">
      <v>581912</v>
    </oc>
    <nc r="D839">
      <v>481912</v>
    </nc>
  </rcc>
  <rcc rId="3841" sId="1">
    <oc r="E830">
      <f>E832+E834+E837+E840</f>
    </oc>
    <nc r="E830">
      <f>E832+E834+E837+E840</f>
    </nc>
  </rcc>
  <rcc rId="3842" sId="1">
    <oc r="F830">
      <f>F832+F834+F837+F840</f>
    </oc>
    <nc r="F830">
      <f>F832+F834+F837+F840</f>
    </nc>
  </rcc>
  <rfmt sheetId="1" sqref="A851:F851" start="0" length="2147483647">
    <dxf>
      <font>
        <b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3" sId="1" numFmtId="34">
    <oc r="D98">
      <v>209923088.25</v>
    </oc>
    <nc r="D98">
      <v>209537488.25</v>
    </nc>
  </rcc>
  <rcc rId="3844" sId="1" numFmtId="34">
    <nc r="E222">
      <v>14419102.119999999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5" sId="1" numFmtId="34">
    <oc r="E222">
      <v>14419102.119999999</v>
    </oc>
    <nc r="E222">
      <v>12419102.119999999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6" sId="1">
    <oc r="D778">
      <v>292246.25</v>
    </oc>
    <nc r="D778">
      <f>292246.25</f>
    </nc>
  </rcc>
  <rcc rId="3847" sId="1">
    <oc r="D240">
      <v>7345628.25</v>
    </oc>
    <nc r="D240">
      <f>7345628.25</f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F1048576">
    <dxf>
      <fill>
        <patternFill>
          <bgColor theme="0"/>
        </patternFill>
      </fill>
    </dxf>
  </rfmt>
  <rcc rId="3848" sId="1">
    <oc r="A389" t="inlineStr">
      <is>
        <t>Комплектование книжных фондов библиотек муниципальных образований и подписка на периодическую печать</t>
      </is>
    </oc>
    <nc r="A389" t="inlineStr">
      <is>
        <t>Комплектование книжных фондов библиотек муниципальных образований Архангельской области и подписка на периодическую печать</t>
      </is>
    </nc>
  </rcc>
  <rfmt sheetId="1" sqref="A389">
    <dxf>
      <fill>
        <patternFill>
          <bgColor theme="6" tint="0.39997558519241921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'!$A$1:$F$861</formula>
    <oldFormula>'программы '!$A$1:$F$861</oldFormula>
  </rdn>
  <rdn rId="0" localSheetId="1" customView="1" name="Z_D9B90A86_BE39_4FED_8226_084809D277F3_.wvu.Rows" hidden="1" oldHidden="1">
    <formula>'программы '!$278:$282</formula>
    <oldFormula>'программы '!$278:$282</oldFormula>
  </rdn>
  <rdn rId="0" localSheetId="1" customView="1" name="Z_D9B90A86_BE39_4FED_8226_084809D277F3_.wvu.FilterData" hidden="1" oldHidden="1">
    <formula>'программы '!$A$1:$A$874</formula>
    <oldFormula>'программы '!$A$1:$A$874</oldFormula>
  </rdn>
  <rcv guid="{D9B90A86-BE39-4FED-8226-084809D277F3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2" sId="1">
    <oc r="A385" t="inlineStr">
      <is>
    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    </is>
    </oc>
    <nc r="A385" t="inlineStr">
      <is>
    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    </is>
    </nc>
  </rcc>
  <rfmt sheetId="1" sqref="A385">
    <dxf>
      <fill>
        <patternFill>
          <bgColor theme="6" tint="0.39997558519241921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'!$A$1:$F$861</formula>
    <oldFormula>'программы '!$A$1:$F$861</oldFormula>
  </rdn>
  <rdn rId="0" localSheetId="1" customView="1" name="Z_D9B90A86_BE39_4FED_8226_084809D277F3_.wvu.Rows" hidden="1" oldHidden="1">
    <formula>'программы '!$278:$282</formula>
    <oldFormula>'программы '!$278:$282</oldFormula>
  </rdn>
  <rdn rId="0" localSheetId="1" customView="1" name="Z_D9B90A86_BE39_4FED_8226_084809D277F3_.wvu.FilterData" hidden="1" oldHidden="1">
    <formula>'программы '!$A$1:$A$874</formula>
    <oldFormula>'программы '!$A$1:$A$874</oldFormula>
  </rdn>
  <rcv guid="{D9B90A86-BE39-4FED-8226-084809D277F3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6" sId="1">
    <oc r="A385" t="inlineStr">
      <is>
    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    </is>
    </oc>
    <nc r="A385" t="inlineStr">
      <is>
    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 на территории Архангельской области</t>
      </is>
    </nc>
  </rcc>
  <rcc rId="3857" sId="1">
    <oc r="A399" t="inlineStr">
      <is>
    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    </is>
    </oc>
    <nc r="A399" t="inlineStr">
      <is>
    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    </is>
    </nc>
  </rcc>
  <rcc rId="3858" sId="1" xfDxf="1" dxf="1">
    <oc r="A718" t="inlineStr">
      <is>
        <t>Бюджетные инвестиции в объекты капитального строительства государственной (муниципальной) собственности</t>
      </is>
    </oc>
    <nc r="A718" t="inlineStr">
      <is>
        <t>Бюджетные инвестиции в объекты капитального строительства собственности муниципальных образований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718">
    <dxf>
      <fill>
        <patternFill>
          <bgColor theme="6" tint="0.39997558519241921"/>
        </patternFill>
      </fill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74" sId="1" numFmtId="34">
    <oc r="D503">
      <v>14735000</v>
    </oc>
    <nc r="D503">
      <f>14735000+7094414.27</f>
    </nc>
  </rcc>
  <rcc rId="2775" sId="1" numFmtId="34">
    <oc r="D606">
      <v>20000</v>
    </oc>
    <nc r="D606">
      <f>20000+20000</f>
    </nc>
  </rcc>
  <rcc rId="2776" sId="1">
    <oc r="D604">
      <f>16008611.71-2100000+3285769.73</f>
    </oc>
    <nc r="D604">
      <f>16008611.71-2100000+3285769.73-7094414.27-9233380-20000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9" sId="1">
    <oc r="A755" t="inlineStr">
      <is>
        <t>Прочие расходы о области коммунального хозяйства</t>
      </is>
    </oc>
    <nc r="A755" t="inlineStr">
      <is>
        <t>Прочие расходы в области коммунального хозяйства</t>
      </is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60" sId="1" ref="A41:XFD41" action="insertRow">
    <undo index="0" exp="area" ref3D="1" dr="$A$278:$XFD$282" dn="Z_D9B90A86_BE39_4FED_8226_084809D277F3_.wvu.Rows" sId="1"/>
    <undo index="0" exp="area" ref3D="1" dr="$A$278:$XFD$282" dn="Z_30E81E54_DD45_4653_9DCD_548F6723F554_.wvu.Rows" sId="1"/>
  </rrc>
  <rrc rId="3861" sId="1" ref="A41:XFD41" action="insertRow">
    <undo index="0" exp="area" ref3D="1" dr="$A$279:$XFD$283" dn="Z_D9B90A86_BE39_4FED_8226_084809D277F3_.wvu.Rows" sId="1"/>
    <undo index="0" exp="area" ref3D="1" dr="$A$279:$XFD$283" dn="Z_30E81E54_DD45_4653_9DCD_548F6723F554_.wvu.Rows" sId="1"/>
  </rrc>
  <rrc rId="3862" sId="1" ref="A41:XFD41" action="insertRow">
    <undo index="0" exp="area" ref3D="1" dr="$A$280:$XFD$284" dn="Z_D9B90A86_BE39_4FED_8226_084809D277F3_.wvu.Rows" sId="1"/>
    <undo index="0" exp="area" ref3D="1" dr="$A$280:$XFD$284" dn="Z_30E81E54_DD45_4653_9DCD_548F6723F554_.wvu.Rows" sId="1"/>
  </rrc>
  <rrc rId="3863" sId="1" ref="A41:XFD41" action="insertRow">
    <undo index="0" exp="area" ref3D="1" dr="$A$281:$XFD$285" dn="Z_D9B90A86_BE39_4FED_8226_084809D277F3_.wvu.Rows" sId="1"/>
    <undo index="0" exp="area" ref3D="1" dr="$A$281:$XFD$285" dn="Z_30E81E54_DD45_4653_9DCD_548F6723F554_.wvu.Rows" sId="1"/>
  </rrc>
  <rcc rId="3864" sId="1" xfDxf="1" dxf="1">
    <nc r="A41" t="inlineStr">
      <is>
    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    </is>
    </nc>
    <ndxf>
      <font>
        <b/>
        <name val="Times New Roman"/>
        <scheme val="none"/>
      </font>
      <numFmt numFmtId="30" formatCode="@"/>
      <fill>
        <patternFill patternType="solid">
          <bgColor theme="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41" start="0" length="2147483647">
    <dxf>
      <font>
        <b val="0"/>
      </font>
    </dxf>
  </rfmt>
  <rcc rId="3865" sId="1" xfDxf="1" dxf="1">
    <nc r="A42" t="inlineStr">
      <is>
        <t>Предоставление субсидий бюджетным, автономным учреждениям и иным некоммерческим организациям</t>
      </is>
    </nc>
    <ndxf>
      <font>
        <b/>
        <name val="Times New Roman"/>
        <scheme val="none"/>
      </font>
      <numFmt numFmtId="30" formatCode="@"/>
      <fill>
        <patternFill patternType="solid">
          <bgColor theme="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42:XFD44" start="0" length="2147483647">
    <dxf>
      <font>
        <b val="0"/>
      </font>
    </dxf>
  </rfmt>
  <rcc rId="3866" sId="1" xfDxf="1" dxf="1">
    <nc r="A43" t="inlineStr">
      <is>
        <t>Субсидии бюджетным учреждениям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867" sId="1" xfDxf="1" dxf="1">
    <nc r="A44" t="inlineStr">
      <is>
        <t>Субсидии бюджетным учреждениям на  иные цели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868" sId="1" numFmtId="34">
    <nc r="C44">
      <v>612</v>
    </nc>
  </rcc>
  <rcc rId="3869" sId="1" numFmtId="34">
    <nc r="C43">
      <v>610</v>
    </nc>
  </rcc>
  <rcc rId="3870" sId="1" numFmtId="34">
    <nc r="C42">
      <v>600</v>
    </nc>
  </rcc>
  <rfmt sheetId="1" sqref="A41:XFD44">
    <dxf>
      <fill>
        <patternFill>
          <bgColor rgb="FFFFFF00"/>
        </patternFill>
      </fill>
    </dxf>
  </rfmt>
  <rcc rId="3871" sId="1">
    <nc r="B44" t="inlineStr">
      <is>
        <t>03 1 00 S6960</t>
      </is>
    </nc>
  </rcc>
  <rcc rId="3872" sId="1">
    <nc r="B43" t="inlineStr">
      <is>
        <t>03 1 00 S6960</t>
      </is>
    </nc>
  </rcc>
  <rcc rId="3873" sId="1">
    <nc r="B42" t="inlineStr">
      <is>
        <t>03 1 00 S6960</t>
      </is>
    </nc>
  </rcc>
  <rcc rId="3874" sId="1">
    <nc r="B41" t="inlineStr">
      <is>
        <t>03 1 00 S6960</t>
      </is>
    </nc>
  </rcc>
  <rfmt sheetId="1" sqref="B41" start="0" length="2147483647">
    <dxf>
      <font>
        <i/>
      </font>
    </dxf>
  </rfmt>
  <rfmt sheetId="1" sqref="B41" start="0" length="2147483647">
    <dxf>
      <font>
        <b val="0"/>
      </font>
    </dxf>
  </rfmt>
  <rfmt sheetId="1" sqref="B41" start="0" length="2147483647">
    <dxf>
      <font>
        <i val="0"/>
      </font>
    </dxf>
  </rfmt>
  <rfmt sheetId="1" sqref="A41:XFD41" start="0" length="2147483647">
    <dxf>
      <font>
        <b/>
      </font>
    </dxf>
  </rfmt>
  <rfmt sheetId="1" sqref="A41:XFD41" start="0" length="2147483647">
    <dxf>
      <font>
        <b val="0"/>
      </font>
    </dxf>
  </rfmt>
  <rcc rId="3875" sId="1">
    <nc r="D43">
      <f>D44</f>
    </nc>
  </rcc>
  <rcc rId="3876" sId="1">
    <nc r="E43">
      <f>E44</f>
    </nc>
  </rcc>
  <rcc rId="3877" sId="1">
    <nc r="F43">
      <f>F44</f>
    </nc>
  </rcc>
  <rcc rId="3878" sId="1">
    <nc r="D42">
      <f>D43</f>
    </nc>
  </rcc>
  <rcc rId="3879" sId="1">
    <nc r="E42">
      <f>E43</f>
    </nc>
  </rcc>
  <rcc rId="3880" sId="1">
    <nc r="F42">
      <f>F43</f>
    </nc>
  </rcc>
  <rcc rId="3881" sId="1">
    <nc r="D41">
      <f>D42</f>
    </nc>
  </rcc>
  <rcc rId="3882" sId="1">
    <nc r="E41">
      <f>E42</f>
    </nc>
  </rcc>
  <rcc rId="3883" sId="1">
    <nc r="F41">
      <f>F42</f>
    </nc>
  </rcc>
  <rcc rId="3884" sId="1">
    <oc r="D40">
      <f>D45+D49+D65+D70+D53+D61+D57</f>
    </oc>
    <nc r="D40">
      <f>D45+D49+D65+D70+D53+D61+D57+D41</f>
    </nc>
  </rcc>
  <rcc rId="3885" sId="1">
    <oc r="E40">
      <f>E45+E49+E65+E70+E53+E61+E57</f>
    </oc>
    <nc r="E40">
      <f>E45+E49+E65+E70+E53+E61+E57+E41</f>
    </nc>
  </rcc>
  <rcc rId="3886" sId="1">
    <oc r="F40">
      <f>F45+F49+F65+F70+F53+F61+F57</f>
    </oc>
    <nc r="F40">
      <f>F45+F49+F65+F70+F53+F61+F57+F41</f>
    </nc>
  </rcc>
  <rcv guid="{D9B90A86-BE39-4FED-8226-084809D277F3}" action="delete"/>
  <rdn rId="0" localSheetId="1" customView="1" name="Z_D9B90A86_BE39_4FED_8226_084809D277F3_.wvu.PrintArea" hidden="1" oldHidden="1">
    <formula>'программы '!$A$1:$F$865</formula>
    <oldFormula>'программы '!$A$1:$F$865</oldFormula>
  </rdn>
  <rdn rId="0" localSheetId="1" customView="1" name="Z_D9B90A86_BE39_4FED_8226_084809D277F3_.wvu.Rows" hidden="1" oldHidden="1">
    <formula>'программы '!$282:$286</formula>
    <oldFormula>'программы '!$282:$286</oldFormula>
  </rdn>
  <rdn rId="0" localSheetId="1" customView="1" name="Z_D9B90A86_BE39_4FED_8226_084809D277F3_.wvu.FilterData" hidden="1" oldHidden="1">
    <formula>'программы '!$A$1:$A$878</formula>
    <oldFormula>'программы '!$A$1:$A$878</oldFormula>
  </rdn>
  <rcv guid="{D9B90A86-BE39-4FED-8226-084809D277F3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90" sId="1" ref="A99:XFD99" action="insertRow">
    <undo index="0" exp="area" ref3D="1" dr="$A$282:$XFD$286" dn="Z_D9B90A86_BE39_4FED_8226_084809D277F3_.wvu.Rows" sId="1"/>
    <undo index="0" exp="area" ref3D="1" dr="$A$282:$XFD$286" dn="Z_30E81E54_DD45_4653_9DCD_548F6723F554_.wvu.Rows" sId="1"/>
  </rrc>
  <rrc rId="3891" sId="1" ref="A99:XFD99" action="insertRow">
    <undo index="0" exp="area" ref3D="1" dr="$A$283:$XFD$287" dn="Z_D9B90A86_BE39_4FED_8226_084809D277F3_.wvu.Rows" sId="1"/>
    <undo index="0" exp="area" ref3D="1" dr="$A$283:$XFD$287" dn="Z_30E81E54_DD45_4653_9DCD_548F6723F554_.wvu.Rows" sId="1"/>
  </rrc>
  <rrc rId="3892" sId="1" ref="A99:XFD99" action="insertRow">
    <undo index="0" exp="area" ref3D="1" dr="$A$284:$XFD$288" dn="Z_D9B90A86_BE39_4FED_8226_084809D277F3_.wvu.Rows" sId="1"/>
    <undo index="0" exp="area" ref3D="1" dr="$A$284:$XFD$288" dn="Z_30E81E54_DD45_4653_9DCD_548F6723F554_.wvu.Rows" sId="1"/>
  </rrc>
  <rrc rId="3893" sId="1" ref="A99:XFD99" action="insertRow">
    <undo index="0" exp="area" ref3D="1" dr="$A$285:$XFD$289" dn="Z_D9B90A86_BE39_4FED_8226_084809D277F3_.wvu.Rows" sId="1"/>
    <undo index="0" exp="area" ref3D="1" dr="$A$285:$XFD$289" dn="Z_30E81E54_DD45_4653_9DCD_548F6723F554_.wvu.Rows" sId="1"/>
  </rrc>
  <rcc rId="3894" sId="1">
    <nc r="B99" t="inlineStr">
      <is>
        <t>03 2 00 Э6852</t>
      </is>
    </nc>
  </rcc>
  <rcc rId="3895" sId="1">
    <nc r="B100" t="inlineStr">
      <is>
        <t>03 2 00 Э6852</t>
      </is>
    </nc>
  </rcc>
  <rcc rId="3896" sId="1">
    <nc r="B101" t="inlineStr">
      <is>
        <t>03 2 00 Э6852</t>
      </is>
    </nc>
  </rcc>
  <rcc rId="3897" sId="1">
    <nc r="B102" t="inlineStr">
      <is>
        <t>03 2 00 Э6852</t>
      </is>
    </nc>
  </rcc>
  <rcc rId="3898" sId="1" numFmtId="34">
    <nc r="C102">
      <v>612</v>
    </nc>
  </rcc>
  <rcc rId="3899" sId="1" numFmtId="34">
    <nc r="C101">
      <v>610</v>
    </nc>
  </rcc>
  <rcc rId="3900" sId="1" numFmtId="34">
    <nc r="C100">
      <v>600</v>
    </nc>
  </rcc>
  <rfmt sheetId="1" sqref="A99:XFD102">
    <dxf>
      <fill>
        <patternFill>
          <bgColor rgb="FFFFFF00"/>
        </patternFill>
      </fill>
    </dxf>
  </rfmt>
  <rcc rId="3901" sId="1">
    <nc r="D101">
      <f>D102</f>
    </nc>
  </rcc>
  <rcc rId="3902" sId="1">
    <nc r="E101">
      <f>E102</f>
    </nc>
  </rcc>
  <rcc rId="3903" sId="1">
    <nc r="F101">
      <f>F102</f>
    </nc>
  </rcc>
  <rcc rId="3904" sId="1">
    <nc r="D99">
      <f>D100</f>
    </nc>
  </rcc>
  <rcc rId="3905" sId="1">
    <nc r="E99">
      <f>E100</f>
    </nc>
  </rcc>
  <rcc rId="3906" sId="1">
    <nc r="F99">
      <f>F100</f>
    </nc>
  </rcc>
  <rcc rId="3907" sId="1">
    <nc r="D100">
      <f>D101</f>
    </nc>
  </rcc>
  <rcc rId="3908" sId="1">
    <nc r="E100">
      <f>E101</f>
    </nc>
  </rcc>
  <rcc rId="3909" sId="1">
    <nc r="F100">
      <f>F101</f>
    </nc>
  </rcc>
  <rcc rId="3910" sId="1" xfDxf="1" dxf="1">
    <nc r="A99" t="inlineStr">
      <is>
    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 учреждениям общего образования)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11" sId="1" xfDxf="1" dxf="1">
    <nc r="A100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12" sId="1" xfDxf="1" dxf="1">
    <nc r="A101" t="inlineStr">
      <is>
        <t>Субсидии бюджетным учреждениям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13" sId="1" xfDxf="1" dxf="1">
    <nc r="A102" t="inlineStr">
      <is>
        <t xml:space="preserve">Субсидии бюджетным учреждениям на  финансовое обеспечение государственного (муниципального) задания на оказание государственных (муниципальных) услуг (выполнение работ) 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14" sId="1">
    <oc r="D74">
      <f>D83+D87+D103+D108+D119+D158+D162+D166+D75+D123+D131+D144+D135+D127+D95+D115+D153+D91+D79</f>
    </oc>
    <nc r="D74">
      <f>D83+D87+D103+D108+D119+D158+D162+D166+D75+D123+D131+D144+D135+D127+D95+D115+D153+D91+D79+D99</f>
    </nc>
  </rcc>
  <rcc rId="3915" sId="1">
    <oc r="E74">
      <f>E83+E87+E103+E108+E119+E158+E162+E166+E75+E123+E131+E144+E135+E127+E95+E115+E153+E91+E79</f>
    </oc>
    <nc r="E74">
      <f>E83+E87+E103+E108+E119+E158+E162+E166+E75+E123+E131+E144+E135+E127+E95+E115+E153+E91+E79+E99</f>
    </nc>
  </rcc>
  <rcc rId="3916" sId="1">
    <oc r="F74">
      <f>F83+F87+F103+F108+F119+F158+F162+F166+F75+F123+F131+F144+F135+F127+F95+F115+F153+F91+F79</f>
    </oc>
    <nc r="F74">
      <f>F83+F87+F103+F108+F119+F158+F162+F166+F75+F123+F131+F144+F135+F127+F95+F115+F153+F91+F79+F99</f>
    </nc>
  </rcc>
  <rcv guid="{D9B90A86-BE39-4FED-8226-084809D277F3}" action="delete"/>
  <rdn rId="0" localSheetId="1" customView="1" name="Z_D9B90A86_BE39_4FED_8226_084809D277F3_.wvu.PrintArea" hidden="1" oldHidden="1">
    <formula>'программы '!$A$1:$F$869</formula>
    <oldFormula>'программы '!$A$1:$F$869</oldFormula>
  </rdn>
  <rdn rId="0" localSheetId="1" customView="1" name="Z_D9B90A86_BE39_4FED_8226_084809D277F3_.wvu.Rows" hidden="1" oldHidden="1">
    <formula>'программы '!$286:$290</formula>
    <oldFormula>'программы '!$286:$290</oldFormula>
  </rdn>
  <rdn rId="0" localSheetId="1" customView="1" name="Z_D9B90A86_BE39_4FED_8226_084809D277F3_.wvu.FilterData" hidden="1" oldHidden="1">
    <formula>'программы '!$A$1:$A$882</formula>
    <oldFormula>'программы '!$A$1:$A$882</oldFormula>
  </rdn>
  <rcv guid="{D9B90A86-BE39-4FED-8226-084809D277F3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08:A109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C100:C118">
    <dxf>
      <alignment horizontal="general" readingOrder="0"/>
    </dxf>
  </rfmt>
  <rfmt sheetId="1" sqref="C100:C118">
    <dxf>
      <alignment horizontal="center" readingOrder="0"/>
    </dxf>
  </rfmt>
  <rfmt sheetId="1" sqref="C100:C118">
    <dxf>
      <alignment horizontal="general" readingOrder="0"/>
    </dxf>
  </rfmt>
  <rfmt sheetId="1" sqref="C100:C118">
    <dxf>
      <alignment horizontal="center" readingOrder="0"/>
    </dxf>
  </rfmt>
  <rfmt sheetId="1" sqref="C100:C118">
    <dxf>
      <numFmt numFmtId="0" formatCode="General"/>
    </dxf>
  </rfmt>
  <rrc rId="3920" sId="1" ref="A171:XFD171" action="insertRow">
    <undo index="0" exp="area" ref3D="1" dr="$A$286:$XFD$290" dn="Z_D9B90A86_BE39_4FED_8226_084809D277F3_.wvu.Rows" sId="1"/>
    <undo index="0" exp="area" ref3D="1" dr="$A$286:$XFD$290" dn="Z_30E81E54_DD45_4653_9DCD_548F6723F554_.wvu.Rows" sId="1"/>
  </rrc>
  <rrc rId="3921" sId="1" ref="A171:XFD171" action="insertRow">
    <undo index="0" exp="area" ref3D="1" dr="$A$287:$XFD$291" dn="Z_D9B90A86_BE39_4FED_8226_084809D277F3_.wvu.Rows" sId="1"/>
    <undo index="0" exp="area" ref3D="1" dr="$A$287:$XFD$291" dn="Z_30E81E54_DD45_4653_9DCD_548F6723F554_.wvu.Rows" sId="1"/>
  </rrc>
  <rrc rId="3922" sId="1" ref="A171:XFD171" action="insertRow">
    <undo index="0" exp="area" ref3D="1" dr="$A$288:$XFD$292" dn="Z_D9B90A86_BE39_4FED_8226_084809D277F3_.wvu.Rows" sId="1"/>
    <undo index="0" exp="area" ref3D="1" dr="$A$288:$XFD$292" dn="Z_30E81E54_DD45_4653_9DCD_548F6723F554_.wvu.Rows" sId="1"/>
  </rrc>
  <rrc rId="3923" sId="1" ref="A171:XFD171" action="insertRow">
    <undo index="0" exp="area" ref3D="1" dr="$A$289:$XFD$293" dn="Z_D9B90A86_BE39_4FED_8226_084809D277F3_.wvu.Rows" sId="1"/>
    <undo index="0" exp="area" ref3D="1" dr="$A$289:$XFD$293" dn="Z_30E81E54_DD45_4653_9DCD_548F6723F554_.wvu.Rows" sId="1"/>
  </rrc>
  <rcc rId="3924" sId="1" xfDxf="1" dxf="1">
    <nc r="A171" t="inlineStr">
      <is>
    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    </is>
    </nc>
    <ndxf>
      <font>
        <b/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1" sqref="A171:XFD174" start="0" length="2147483647">
    <dxf>
      <font>
        <b val="0"/>
      </font>
    </dxf>
  </rfmt>
  <rfmt sheetId="1" sqref="A171:XFD174" start="0" length="2147483647">
    <dxf>
      <font>
        <i/>
      </font>
    </dxf>
  </rfmt>
  <rfmt sheetId="1" sqref="A171:XFD174" start="0" length="2147483647">
    <dxf>
      <font>
        <i val="0"/>
      </font>
    </dxf>
  </rfmt>
  <rcc rId="3925" sId="1" xfDxf="1" dxf="1">
    <nc r="A172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926" sId="1" xfDxf="1" dxf="1">
    <nc r="A173" t="inlineStr">
      <is>
        <t>Субсидии бюджетным учреждениям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927" sId="1" xfDxf="1" dxf="1">
    <nc r="A174" t="inlineStr">
      <is>
        <t>Субсидии бюджетным учреждениям на иные цели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3928" sId="1">
    <nc r="B171" t="inlineStr">
      <is>
        <t>03 3 00 S6960</t>
      </is>
    </nc>
  </rcc>
  <rcc rId="3929" sId="1" xfDxf="1" s="1" dxf="1">
    <nc r="B172" t="inlineStr">
      <is>
        <t>03 3 00 S6960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30" sId="1" xfDxf="1" s="1" dxf="1">
    <nc r="B173" t="inlineStr">
      <is>
        <t>03 3 00 S6960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31" sId="1" xfDxf="1" s="1" dxf="1">
    <nc r="B174" t="inlineStr">
      <is>
        <t>03 3 00 S6960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_(* #,##0.0_);_(* \(#,##0.0\);_(* &quot;-&quot;??_);_(@_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32" sId="1" numFmtId="34">
    <nc r="C174">
      <v>612</v>
    </nc>
  </rcc>
  <rcc rId="3933" sId="1" numFmtId="34">
    <nc r="C173">
      <v>610</v>
    </nc>
  </rcc>
  <rcc rId="3934" sId="1" numFmtId="34">
    <nc r="C172">
      <v>600</v>
    </nc>
  </rcc>
  <rcc rId="3935" sId="1">
    <nc r="D173">
      <f>D174</f>
    </nc>
  </rcc>
  <rcc rId="3936" sId="1">
    <nc r="E173">
      <f>E174</f>
    </nc>
  </rcc>
  <rcc rId="3937" sId="1">
    <nc r="F173">
      <f>F174</f>
    </nc>
  </rcc>
  <rcc rId="3938" sId="1">
    <nc r="D171">
      <f>D172</f>
    </nc>
  </rcc>
  <rcc rId="3939" sId="1">
    <nc r="E171">
      <f>E172</f>
    </nc>
  </rcc>
  <rcc rId="3940" sId="1">
    <nc r="F171">
      <f>F172</f>
    </nc>
  </rcc>
  <rcc rId="3941" sId="1">
    <nc r="D172">
      <f>D173</f>
    </nc>
  </rcc>
  <rcc rId="3942" sId="1">
    <nc r="E172">
      <f>E173</f>
    </nc>
  </rcc>
  <rcc rId="3943" sId="1">
    <nc r="F172">
      <f>F173</f>
    </nc>
  </rcc>
  <rcc rId="3944" sId="1">
    <oc r="D170">
      <f>D175+D179+D184+D194+D189</f>
    </oc>
    <nc r="D170">
      <f>D175+D179+D184+D194+D189+D171</f>
    </nc>
  </rcc>
  <rcc rId="3945" sId="1">
    <oc r="E170">
      <f>E175+E179+E184+E194+E189</f>
    </oc>
    <nc r="E170">
      <f>E175+E179+E184+E194+E189+E171</f>
    </nc>
  </rcc>
  <rcc rId="3946" sId="1">
    <oc r="F170">
      <f>F175+F179+F184+F194+F189</f>
    </oc>
    <nc r="F170">
      <f>F175+F179+F184+F194+F189+F171</f>
    </nc>
  </rcc>
  <rfmt sheetId="1" sqref="A171:XFD174">
    <dxf>
      <fill>
        <patternFill>
          <bgColor rgb="FFFFFF00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'!$A$1:$F$873</formula>
    <oldFormula>'программы '!$A$1:$F$873</oldFormula>
  </rdn>
  <rdn rId="0" localSheetId="1" customView="1" name="Z_D9B90A86_BE39_4FED_8226_084809D277F3_.wvu.Rows" hidden="1" oldHidden="1">
    <formula>'программы '!$290:$294</formula>
    <oldFormula>'программы '!$290:$294</oldFormula>
  </rdn>
  <rdn rId="0" localSheetId="1" customView="1" name="Z_D9B90A86_BE39_4FED_8226_084809D277F3_.wvu.FilterData" hidden="1" oldHidden="1">
    <formula>'программы '!$A$1:$A$886</formula>
    <oldFormula>'программы '!$A$1:$A$886</oldFormula>
  </rdn>
  <rcv guid="{D9B90A86-BE39-4FED-8226-084809D277F3}" action="add"/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50" sId="1" ref="A865:XFD865" action="insertRow"/>
  <rrc rId="3951" sId="1" ref="A865:XFD865" action="insertRow"/>
  <rrc rId="3952" sId="1" ref="A865:XFD865" action="insertRow"/>
  <rcc rId="3953" sId="1">
    <nc r="C867" t="inlineStr">
      <is>
        <t>612</t>
      </is>
    </nc>
  </rcc>
  <rcc rId="3954" sId="1">
    <nc r="C866" t="inlineStr">
      <is>
        <t>610</t>
      </is>
    </nc>
  </rcc>
  <rcc rId="3955" sId="1">
    <nc r="C865" t="inlineStr">
      <is>
        <t>600</t>
      </is>
    </nc>
  </rcc>
  <rrc rId="3956" sId="1" ref="A871:XFD871" action="insertRow"/>
  <rrc rId="3957" sId="1" ref="A871:XFD871" action="insertRow"/>
  <rrc rId="3958" sId="1" ref="A871:XFD871" action="insertRow"/>
  <rcc rId="3959" sId="1">
    <nc r="C873" t="inlineStr">
      <is>
        <t>612</t>
      </is>
    </nc>
  </rcc>
  <rcc rId="3960" sId="1">
    <nc r="C872" t="inlineStr">
      <is>
        <t>610</t>
      </is>
    </nc>
  </rcc>
  <rcc rId="3961" sId="1">
    <nc r="C871" t="inlineStr">
      <is>
        <t>600</t>
      </is>
    </nc>
  </rcc>
  <rcc rId="3962" sId="1" xfDxf="1" s="1" dxf="1">
    <nc r="A865" t="inlineStr">
      <is>
        <t>Предоставление субсидий бюджетным, автономным учреждениям и иным некоммерческим организациям</t>
      </is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63" sId="1" xfDxf="1" dxf="1">
    <nc r="A871" t="inlineStr">
      <is>
        <t>Предоставление субсидий бюджетным, автономным учреждениям и иным некоммерческим организациям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865" start="0" length="2147483647">
    <dxf>
      <font>
        <i val="0"/>
      </font>
    </dxf>
  </rfmt>
  <rcc rId="3964" sId="1" xfDxf="1" dxf="1">
    <nc r="A872" t="inlineStr">
      <is>
        <t>Субсидии бюджетным учреждениям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965" sId="1" xfDxf="1" s="1" dxf="1">
    <nc r="A866" t="inlineStr">
      <is>
        <t>Субсидии бюджетным учреждениям</t>
      </is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866:XFD866" start="0" length="2147483647">
    <dxf>
      <font>
        <i val="0"/>
      </font>
    </dxf>
  </rfmt>
  <rfmt sheetId="1" sqref="A868:XFD875">
    <dxf>
      <alignment vertical="bottom" readingOrder="0"/>
    </dxf>
  </rfmt>
  <rfmt sheetId="1" sqref="A868:XFD875">
    <dxf>
      <alignment vertical="center" readingOrder="0"/>
    </dxf>
  </rfmt>
  <rcc rId="3966" sId="1" xfDxf="1" dxf="1">
    <nc r="A873" t="inlineStr">
      <is>
        <t>Субсидии бюджетным учреждениям на иные цели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967" sId="1" xfDxf="1" s="1" dxf="1">
    <nc r="A867" t="inlineStr">
      <is>
        <t>Субсидии бюджетным учреждениям на иные цели</t>
      </is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68" sId="1" xfDxf="1" dxf="1">
    <nc r="B865" t="inlineStr">
      <is>
        <t>67 0 00 S8890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69" sId="1" xfDxf="1" dxf="1">
    <nc r="B866" t="inlineStr">
      <is>
        <t>67 0 00 S8890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70" sId="1" xfDxf="1" dxf="1">
    <nc r="B867" t="inlineStr">
      <is>
        <t>67 0 00 S8890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971" sId="1" xfDxf="1" dxf="1">
    <nc r="B871" t="inlineStr">
      <is>
        <t>67 0 00 88890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bottom style="thin">
          <color indexed="64"/>
        </bottom>
      </border>
    </ndxf>
  </rcc>
  <rcc rId="3972" sId="1" xfDxf="1" dxf="1">
    <nc r="B872" t="inlineStr">
      <is>
        <t>67 0 00 88890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bottom style="thin">
          <color indexed="64"/>
        </bottom>
      </border>
    </ndxf>
  </rcc>
  <rcc rId="3973" sId="1" xfDxf="1" dxf="1">
    <nc r="B873" t="inlineStr">
      <is>
        <t>67 0 00 88890</t>
      </is>
    </nc>
    <ndxf>
      <font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bottom style="thin">
          <color indexed="64"/>
        </bottom>
      </border>
    </ndxf>
  </rcc>
  <rcc rId="3974" sId="1">
    <nc r="D872">
      <f>D873</f>
    </nc>
  </rcc>
  <rcc rId="3975" sId="1">
    <nc r="E872">
      <f>E873</f>
    </nc>
  </rcc>
  <rcc rId="3976" sId="1">
    <nc r="F872">
      <f>F873</f>
    </nc>
  </rcc>
  <rcc rId="3977" sId="1">
    <nc r="D871">
      <f>D872</f>
    </nc>
  </rcc>
  <rcc rId="3978" sId="1">
    <nc r="E871">
      <f>E872</f>
    </nc>
  </rcc>
  <rcc rId="3979" sId="1">
    <nc r="F871">
      <f>F872</f>
    </nc>
  </rcc>
  <rcc rId="3980" sId="1">
    <oc r="D870">
      <f>D874</f>
    </oc>
    <nc r="D870">
      <f>D874+D871</f>
    </nc>
  </rcc>
  <rcc rId="3981" sId="1">
    <oc r="E870">
      <f>E874</f>
    </oc>
    <nc r="E870">
      <f>E874+E871</f>
    </nc>
  </rcc>
  <rcc rId="3982" sId="1">
    <oc r="F870">
      <f>F874</f>
    </oc>
    <nc r="F870">
      <f>F874+F871</f>
    </nc>
  </rcc>
  <rcc rId="3983" sId="1">
    <nc r="D866">
      <f>D867</f>
    </nc>
  </rcc>
  <rcc rId="3984" sId="1">
    <nc r="E866">
      <f>E867</f>
    </nc>
  </rcc>
  <rcc rId="3985" sId="1">
    <nc r="F866">
      <f>F867</f>
    </nc>
  </rcc>
  <rcc rId="3986" sId="1">
    <nc r="D865">
      <f>D866</f>
    </nc>
  </rcc>
  <rcc rId="3987" sId="1">
    <nc r="E865">
      <f>E866</f>
    </nc>
  </rcc>
  <rcc rId="3988" sId="1">
    <nc r="F865">
      <f>F866</f>
    </nc>
  </rcc>
  <rcc rId="3989" sId="1">
    <oc r="D864">
      <f>D868</f>
    </oc>
    <nc r="D864">
      <f>D868+D865</f>
    </nc>
  </rcc>
  <rcc rId="3990" sId="1">
    <oc r="E864">
      <f>E868</f>
    </oc>
    <nc r="E864">
      <f>E868+E865</f>
    </nc>
  </rcc>
  <rcc rId="3991" sId="1">
    <oc r="F864">
      <f>F868</f>
    </oc>
    <nc r="F864">
      <f>F868+F865</f>
    </nc>
  </rcc>
  <rfmt sheetId="1" sqref="A865:XFD867">
    <dxf>
      <fill>
        <patternFill>
          <bgColor rgb="FFFFFF00"/>
        </patternFill>
      </fill>
    </dxf>
  </rfmt>
  <rfmt sheetId="1" sqref="A871:XFD873">
    <dxf>
      <fill>
        <patternFill>
          <bgColor rgb="FFFFFF00"/>
        </patternFill>
      </fill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67:XFD867" start="0" length="2147483647">
    <dxf>
      <font>
        <i val="0"/>
      </font>
    </dxf>
  </rfmt>
  <rrc rId="3992" sId="1" ref="A249:XFD249" action="insertRow">
    <undo index="0" exp="area" ref3D="1" dr="$A$290:$XFD$294" dn="Z_D9B90A86_BE39_4FED_8226_084809D277F3_.wvu.Rows" sId="1"/>
    <undo index="0" exp="area" ref3D="1" dr="$A$290:$XFD$294" dn="Z_30E81E54_DD45_4653_9DCD_548F6723F554_.wvu.Rows" sId="1"/>
  </rrc>
  <rrc rId="3993" sId="1" ref="A249:XFD249" action="insertRow">
    <undo index="0" exp="area" ref3D="1" dr="$A$291:$XFD$295" dn="Z_D9B90A86_BE39_4FED_8226_084809D277F3_.wvu.Rows" sId="1"/>
    <undo index="0" exp="area" ref3D="1" dr="$A$291:$XFD$295" dn="Z_30E81E54_DD45_4653_9DCD_548F6723F554_.wvu.Rows" sId="1"/>
  </rrc>
  <rrc rId="3994" sId="1" ref="A249:XFD249" action="insertRow">
    <undo index="0" exp="area" ref3D="1" dr="$A$292:$XFD$296" dn="Z_D9B90A86_BE39_4FED_8226_084809D277F3_.wvu.Rows" sId="1"/>
    <undo index="0" exp="area" ref3D="1" dr="$A$292:$XFD$296" dn="Z_30E81E54_DD45_4653_9DCD_548F6723F554_.wvu.Rows" sId="1"/>
  </rrc>
  <rrc rId="3995" sId="1" ref="A250:XFD250" action="insertRow">
    <undo index="0" exp="area" ref3D="1" dr="$A$293:$XFD$297" dn="Z_D9B90A86_BE39_4FED_8226_084809D277F3_.wvu.Rows" sId="1"/>
    <undo index="0" exp="area" ref3D="1" dr="$A$293:$XFD$297" dn="Z_30E81E54_DD45_4653_9DCD_548F6723F554_.wvu.Rows" sId="1"/>
  </rrc>
  <rfmt sheetId="1" sqref="A249:XFD252">
    <dxf>
      <fill>
        <patternFill>
          <bgColor rgb="FFFFFF00"/>
        </patternFill>
      </fill>
    </dxf>
  </rfmt>
  <rcc rId="3996" sId="1" xfDxf="1" dxf="1">
    <nc r="A249" t="inlineStr">
      <is>
        <t>Организация и содержание мест захоронения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997" sId="1" xfDxf="1" dxf="1">
    <nc r="A250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998" sId="1" xfDxf="1" dxf="1">
    <nc r="A251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3999" sId="1" xfDxf="1" dxf="1">
    <nc r="A252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000" sId="1">
    <nc r="C252" t="inlineStr">
      <is>
        <t>244</t>
      </is>
    </nc>
  </rcc>
  <rcc rId="4001" sId="1">
    <nc r="C251" t="inlineStr">
      <is>
        <t>240</t>
      </is>
    </nc>
  </rcc>
  <rcc rId="4002" sId="1">
    <nc r="C250" t="inlineStr">
      <is>
        <t>200</t>
      </is>
    </nc>
  </rcc>
  <rcc rId="4003" sId="1">
    <nc r="B249" t="inlineStr">
      <is>
        <t>04 0 00 10840</t>
      </is>
    </nc>
  </rcc>
  <rcc rId="4004" sId="1">
    <nc r="B250" t="inlineStr">
      <is>
        <t>04 0 00 10840</t>
      </is>
    </nc>
  </rcc>
  <rcc rId="4005" sId="1" xfDxf="1" dxf="1">
    <nc r="B251" t="inlineStr">
      <is>
        <t>04 0 00 10840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006" sId="1" xfDxf="1" dxf="1">
    <nc r="B252" t="inlineStr">
      <is>
        <t>04 0 00 10840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007" sId="1">
    <nc r="D251">
      <f>D252</f>
    </nc>
  </rcc>
  <rcc rId="4008" sId="1">
    <nc r="E251">
      <f>E252</f>
    </nc>
  </rcc>
  <rcc rId="4009" sId="1">
    <nc r="F251">
      <f>F252</f>
    </nc>
  </rcc>
  <rcc rId="4010" sId="1">
    <nc r="D249">
      <f>D250</f>
    </nc>
  </rcc>
  <rcc rId="4011" sId="1">
    <nc r="E249">
      <f>E250</f>
    </nc>
  </rcc>
  <rcc rId="4012" sId="1">
    <nc r="F249">
      <f>F250</f>
    </nc>
  </rcc>
  <rcc rId="4013" sId="1">
    <nc r="D250">
      <f>D251</f>
    </nc>
  </rcc>
  <rcc rId="4014" sId="1">
    <nc r="E250">
      <f>E251</f>
    </nc>
  </rcc>
  <rcc rId="4015" sId="1">
    <nc r="F250">
      <f>F251</f>
    </nc>
  </rcc>
  <rcc rId="4016" sId="1">
    <oc r="D244">
      <f>D245+D253+D257+D261+D266+D270</f>
    </oc>
    <nc r="D244">
      <f>D245+D253+D257+D261+D266+D270+D249</f>
    </nc>
  </rcc>
  <rcc rId="4017" sId="1">
    <oc r="E244">
      <f>E245+E253+E257+E261+E266+E270</f>
    </oc>
    <nc r="E244">
      <f>E245+E253+E257+E261+E266+E270+E249</f>
    </nc>
  </rcc>
  <rcc rId="4018" sId="1">
    <oc r="F244">
      <f>F245+F253+F257+F261+F266+F270</f>
    </oc>
    <nc r="F244">
      <f>F245+F253+F257+F261+F266+F270+F249</f>
    </nc>
  </rcc>
  <rcv guid="{D9B90A86-BE39-4FED-8226-084809D277F3}" action="delete"/>
  <rdn rId="0" localSheetId="1" customView="1" name="Z_D9B90A86_BE39_4FED_8226_084809D277F3_.wvu.PrintArea" hidden="1" oldHidden="1">
    <formula>'программы '!$A$1:$F$883</formula>
    <oldFormula>'программы '!$A$1:$F$883</oldFormula>
  </rdn>
  <rdn rId="0" localSheetId="1" customView="1" name="Z_D9B90A86_BE39_4FED_8226_084809D277F3_.wvu.Rows" hidden="1" oldHidden="1">
    <formula>'программы '!$294:$298</formula>
    <oldFormula>'программы '!$294:$298</oldFormula>
  </rdn>
  <rdn rId="0" localSheetId="1" customView="1" name="Z_D9B90A86_BE39_4FED_8226_084809D277F3_.wvu.FilterData" hidden="1" oldHidden="1">
    <formula>'программы '!$A$1:$A$896</formula>
    <oldFormula>'программы '!$A$1:$A$896</oldFormula>
  </rdn>
  <rcv guid="{D9B90A86-BE39-4FED-8226-084809D277F3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22" sId="1" ref="A869:XFD869" action="insertRow"/>
  <rrc rId="4023" sId="1" ref="A869:XFD869" action="insertRow"/>
  <rrc rId="4024" sId="1" ref="A869:XFD869" action="insertRow"/>
  <rrc rId="4025" sId="1" ref="A878:XFD878" action="insertRow"/>
  <rrc rId="4026" sId="1" ref="A878:XFD878" action="insertRow"/>
  <rrc rId="4027" sId="1" ref="A879:XFD879" action="insertRow"/>
  <rcc rId="4028" sId="1">
    <nc r="C880" t="inlineStr">
      <is>
        <t>244</t>
      </is>
    </nc>
  </rcc>
  <rcc rId="4029" sId="1">
    <nc r="C879" t="inlineStr">
      <is>
        <t>240</t>
      </is>
    </nc>
  </rcc>
  <rcc rId="4030" sId="1">
    <nc r="C878" t="inlineStr">
      <is>
        <t>200</t>
      </is>
    </nc>
  </rcc>
  <rcc rId="4031" sId="1">
    <nc r="C871" t="inlineStr">
      <is>
        <t>244</t>
      </is>
    </nc>
  </rcc>
  <rcc rId="4032" sId="1">
    <nc r="C870" t="inlineStr">
      <is>
        <t>240</t>
      </is>
    </nc>
  </rcc>
  <rcc rId="4033" sId="1">
    <nc r="C869" t="inlineStr">
      <is>
        <t>200</t>
      </is>
    </nc>
  </rcc>
  <rcc rId="4034" sId="1" xfDxf="1" s="1" dxf="1">
    <nc r="A869" t="inlineStr">
      <is>
        <t>Закупка товаров, работ и услуг для обеспечения государственных (муниципальных) нужд</t>
      </is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35" sId="1" xfDxf="1" s="1" dxf="1">
    <nc r="A870" t="inlineStr">
      <is>
        <t>Иные закупки товаров,работ и услуг для обеспечения государственных (муниципальных) нужд</t>
      </is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36" sId="1" xfDxf="1" s="1" dxf="1">
    <nc r="A871" t="inlineStr">
      <is>
        <t>Прочая закупка товаров, работ и услуг</t>
      </is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869:XFD871" start="0" length="2147483647">
    <dxf>
      <font>
        <i val="0"/>
      </font>
    </dxf>
  </rfmt>
  <rcc rId="4037" sId="1" xfDxf="1" dxf="1">
    <nc r="B869" t="inlineStr">
      <is>
        <t>67 0 00 S8890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38" sId="1" xfDxf="1" dxf="1">
    <nc r="B870" t="inlineStr">
      <is>
        <t>67 0 00 S8890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39" sId="1" xfDxf="1" dxf="1">
    <nc r="B871" t="inlineStr">
      <is>
        <t>67 0 00 S8890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40" sId="1" xfDxf="1" dxf="1">
    <nc r="A880" t="inlineStr">
      <is>
        <t>Прочая закупка товаров, работ и услуг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041" sId="1" xfDxf="1" dxf="1">
    <nc r="A879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042" sId="1" xfDxf="1" dxf="1">
    <nc r="A878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A869:XFD871">
    <dxf>
      <fill>
        <patternFill>
          <bgColor rgb="FFFFFF00"/>
        </patternFill>
      </fill>
    </dxf>
  </rfmt>
  <rfmt sheetId="1" sqref="A878:XFD880">
    <dxf>
      <fill>
        <patternFill>
          <bgColor rgb="FFFFFF00"/>
        </patternFill>
      </fill>
    </dxf>
  </rfmt>
  <rcc rId="4043" sId="1">
    <oc r="D868">
      <f>D875+D872</f>
    </oc>
    <nc r="D868">
      <f>D875+D872+D869</f>
    </nc>
  </rcc>
  <rcc rId="4044" sId="1">
    <oc r="E868">
      <f>E875+E872</f>
    </oc>
    <nc r="E868">
      <f>E875+E872+E869</f>
    </nc>
  </rcc>
  <rcc rId="4045" sId="1">
    <oc r="F868">
      <f>F875+F872</f>
    </oc>
    <nc r="F868">
      <f>F875+F872+F869</f>
    </nc>
  </rcc>
  <rcc rId="4046" sId="1">
    <oc r="D877">
      <f>D884+D881</f>
    </oc>
    <nc r="D877">
      <f>D884+D881+D878</f>
    </nc>
  </rcc>
  <rcc rId="4047" sId="1">
    <oc r="E877">
      <f>E884+E881</f>
    </oc>
    <nc r="E877">
      <f>E884+E881+E878</f>
    </nc>
  </rcc>
  <rcc rId="4048" sId="1">
    <oc r="F877">
      <f>F884+F881</f>
    </oc>
    <nc r="F877">
      <f>F884+F881+F878</f>
    </nc>
  </rcc>
  <rcc rId="4049" sId="1" xfDxf="1" dxf="1">
    <nc r="B878" t="inlineStr">
      <is>
        <t>67 0 00 88890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readingOrder="0"/>
      <border outline="0">
        <bottom style="thin">
          <color indexed="64"/>
        </bottom>
      </border>
    </ndxf>
  </rcc>
  <rcc rId="4050" sId="1" xfDxf="1" dxf="1">
    <nc r="B879" t="inlineStr">
      <is>
        <t>67 0 00 88890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readingOrder="0"/>
      <border outline="0">
        <bottom style="thin">
          <color indexed="64"/>
        </bottom>
      </border>
    </ndxf>
  </rcc>
  <rcc rId="4051" sId="1" xfDxf="1" dxf="1">
    <nc r="B880" t="inlineStr">
      <is>
        <t>67 0 00 88890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readingOrder="0"/>
      <border outline="0"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'!$A$1:$F$889</formula>
    <oldFormula>'программы '!$A$1:$F$889</oldFormula>
  </rdn>
  <rdn rId="0" localSheetId="1" customView="1" name="Z_D9B90A86_BE39_4FED_8226_084809D277F3_.wvu.Rows" hidden="1" oldHidden="1">
    <formula>'программы '!$294:$298</formula>
    <oldFormula>'программы '!$294:$298</oldFormula>
  </rdn>
  <rdn rId="0" localSheetId="1" customView="1" name="Z_D9B90A86_BE39_4FED_8226_084809D277F3_.wvu.FilterData" hidden="1" oldHidden="1">
    <formula>'программы '!$A$1:$A$902</formula>
    <oldFormula>'программы '!$A$1:$A$902</oldFormula>
  </rdn>
  <rcv guid="{D9B90A86-BE39-4FED-8226-084809D277F3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68" start="0" length="2147483647">
    <dxf>
      <font>
        <i val="0"/>
      </font>
    </dxf>
  </rfmt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5" sId="1">
    <nc r="D870">
      <f>D871</f>
    </nc>
  </rcc>
  <rcc rId="4056" sId="1">
    <nc r="E870">
      <f>E871</f>
    </nc>
  </rcc>
  <rcc rId="4057" sId="1">
    <nc r="F870">
      <f>F871</f>
    </nc>
  </rcc>
  <rcc rId="4058" sId="1">
    <nc r="D869">
      <f>D870</f>
    </nc>
  </rcc>
  <rcc rId="4059" sId="1">
    <nc r="E869">
      <f>E870</f>
    </nc>
  </rcc>
  <rcc rId="4060" sId="1">
    <nc r="F869">
      <f>F870</f>
    </nc>
  </rcc>
  <rcc rId="4061" sId="1">
    <nc r="D879">
      <f>D880</f>
    </nc>
  </rcc>
  <rcc rId="4062" sId="1">
    <nc r="E879">
      <f>E880</f>
    </nc>
  </rcc>
  <rcc rId="4063" sId="1">
    <nc r="F879">
      <f>F880</f>
    </nc>
  </rcc>
  <rcc rId="4064" sId="1">
    <nc r="D878">
      <f>D879</f>
    </nc>
  </rcc>
  <rcc rId="4065" sId="1">
    <nc r="E878">
      <f>E879</f>
    </nc>
  </rcc>
  <rcc rId="4066" sId="1">
    <nc r="F878">
      <f>F879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67" sId="1" ref="A886:XFD886" action="insertRow"/>
  <rrc rId="4068" sId="1" ref="A886:XFD886" action="insertRow"/>
  <rrc rId="4069" sId="1" ref="A886:XFD886" action="insertRow"/>
  <rrc rId="4070" sId="1" ref="A886:XFD886" action="insertRow"/>
  <rrc rId="4071" sId="1" ref="A886:XFD886" action="insertRow"/>
  <rfmt sheetId="1" sqref="A886:A891" start="0" length="0">
    <dxf>
      <border>
        <left style="thin">
          <color indexed="64"/>
        </left>
      </border>
    </dxf>
  </rfmt>
  <rfmt sheetId="1" sqref="F886:F891" start="0" length="0">
    <dxf>
      <border>
        <right style="thin">
          <color indexed="64"/>
        </right>
      </border>
    </dxf>
  </rfmt>
  <rfmt sheetId="1" sqref="A886:F89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4072" sId="1">
    <nc r="B886" t="inlineStr">
      <is>
        <t>68 0 00 00000</t>
      </is>
    </nc>
  </rcc>
  <rcc rId="4073" sId="1" xfDxf="1" dxf="1">
    <nc r="A886" t="inlineStr">
      <is>
        <t>Сохранение объектов культурного наследия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886" start="0" length="2147483647">
    <dxf>
      <font>
        <b/>
      </font>
    </dxf>
  </rfmt>
  <rfmt sheetId="1" sqref="A886" start="0" length="2147483647">
    <dxf>
      <font>
        <i/>
      </font>
    </dxf>
  </rfmt>
  <rfmt sheetId="1" sqref="A886:XFD886" start="0" length="2147483647">
    <dxf>
      <font>
        <b val="0"/>
      </font>
    </dxf>
  </rfmt>
  <rfmt sheetId="1" sqref="A886:XFD886" start="0" length="2147483647">
    <dxf>
      <font>
        <b/>
      </font>
    </dxf>
  </rfmt>
  <rcc rId="4074" sId="1">
    <nc r="C890" t="inlineStr">
      <is>
        <t>244</t>
      </is>
    </nc>
  </rcc>
  <rcc rId="4075" sId="1">
    <nc r="C889" t="inlineStr">
      <is>
        <t>240</t>
      </is>
    </nc>
  </rcc>
  <rcc rId="4076" sId="1">
    <nc r="C888" t="inlineStr">
      <is>
        <t>200</t>
      </is>
    </nc>
  </rcc>
  <rcc rId="4077" sId="1" xfDxf="1" dxf="1">
    <nc r="A887" t="inlineStr">
      <is>
        <t>Мероприятия по сохранению объекта культурного наследия регионального значения "Мост на реке Кене"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78" sId="1" xfDxf="1" dxf="1">
    <nc r="A888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79" sId="1" xfDxf="1" dxf="1">
    <nc r="A889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80" sId="1" xfDxf="1" dxf="1">
    <nc r="A890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81" sId="1">
    <nc r="B887" t="inlineStr">
      <is>
        <t>68 0 00 80410</t>
      </is>
    </nc>
  </rcc>
  <rcc rId="4082" sId="1">
    <nc r="B888" t="inlineStr">
      <is>
        <t>68 0 00 80410</t>
      </is>
    </nc>
  </rcc>
  <rcc rId="4083" sId="1">
    <nc r="B889" t="inlineStr">
      <is>
        <t>68 0 00 80410</t>
      </is>
    </nc>
  </rcc>
  <rcc rId="4084" sId="1">
    <nc r="B890" t="inlineStr">
      <is>
        <t>68 0 00 80410</t>
      </is>
    </nc>
  </rcc>
  <rcc rId="4085" sId="1">
    <nc r="D889">
      <f>D890</f>
    </nc>
  </rcc>
  <rcc rId="4086" sId="1">
    <nc r="E889">
      <f>E890</f>
    </nc>
  </rcc>
  <rcc rId="4087" sId="1">
    <nc r="F889">
      <f>F890</f>
    </nc>
  </rcc>
  <rcc rId="4088" sId="1" odxf="1" dxf="1">
    <nc r="D886">
      <f>D887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4089" sId="1" odxf="1" dxf="1">
    <nc r="E886">
      <f>E887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4090" sId="1" odxf="1" dxf="1">
    <nc r="F886">
      <f>F887</f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4091" sId="1">
    <nc r="D887">
      <f>D888</f>
    </nc>
  </rcc>
  <rcc rId="4092" sId="1">
    <nc r="E887">
      <f>E888</f>
    </nc>
  </rcc>
  <rcc rId="4093" sId="1">
    <nc r="F887">
      <f>F888</f>
    </nc>
  </rcc>
  <rcc rId="4094" sId="1">
    <nc r="D888">
      <f>D889</f>
    </nc>
  </rcc>
  <rcc rId="4095" sId="1">
    <nc r="E888">
      <f>E889</f>
    </nc>
  </rcc>
  <rcc rId="4096" sId="1">
    <nc r="F888">
      <f>F889</f>
    </nc>
  </rcc>
  <rfmt sheetId="1" sqref="A886:XFD890">
    <dxf>
      <fill>
        <patternFill>
          <bgColor rgb="FFFFFF00"/>
        </patternFill>
      </fill>
    </dxf>
  </rfmt>
  <rcv guid="{D9B90A86-BE39-4FED-8226-084809D277F3}" action="delete"/>
  <rdn rId="0" localSheetId="1" customView="1" name="Z_D9B90A86_BE39_4FED_8226_084809D277F3_.wvu.PrintArea" hidden="1" oldHidden="1">
    <formula>'программы '!$A$1:$F$894</formula>
    <oldFormula>'программы '!$A$1:$F$894</oldFormula>
  </rdn>
  <rdn rId="0" localSheetId="1" customView="1" name="Z_D9B90A86_BE39_4FED_8226_084809D277F3_.wvu.Rows" hidden="1" oldHidden="1">
    <formula>'программы '!$294:$298</formula>
    <oldFormula>'программы '!$294:$298</oldFormula>
  </rdn>
  <rdn rId="0" localSheetId="1" customView="1" name="Z_D9B90A86_BE39_4FED_8226_084809D277F3_.wvu.FilterData" hidden="1" oldHidden="1">
    <formula>'программы '!$A$1:$A$907</formula>
    <oldFormula>'программы '!$A$1:$A$907</oldFormula>
  </rdn>
  <rcv guid="{D9B90A86-BE39-4FED-8226-084809D277F3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77" sId="1" numFmtId="34">
    <oc r="D446">
      <v>3516000</v>
    </oc>
    <nc r="D446">
      <f>3516000-253536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00" sId="1" ref="A313:XFD313" action="insertRow"/>
  <rrc rId="4101" sId="1" ref="A313:XFD313" action="insertRow"/>
  <rcc rId="4102" sId="1" xfDxf="1" dxf="1">
    <nc r="A314" t="inlineStr">
      <is>
        <t>Уплата налогов, сборов и иных платежей</t>
      </is>
    </nc>
    <ndxf>
      <font>
        <name val="Times New Roman"/>
        <scheme val="none"/>
      </font>
      <fill>
        <patternFill patternType="solid">
          <bgColor theme="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03" sId="1" xfDxf="1" dxf="1">
    <nc r="A313" t="inlineStr">
      <is>
        <t xml:space="preserve">Иные бюджетные ассигнования </t>
      </is>
    </nc>
    <ndxf>
      <font>
        <name val="Times New Roman"/>
        <scheme val="none"/>
      </font>
      <fill>
        <patternFill patternType="solid">
          <bgColor theme="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04" sId="1" numFmtId="34">
    <nc r="C314">
      <v>850</v>
    </nc>
  </rcc>
  <rcc rId="4105" sId="1" numFmtId="34">
    <nc r="C313">
      <v>800</v>
    </nc>
  </rcc>
  <rcc rId="4106" sId="1">
    <nc r="B314" t="inlineStr">
      <is>
        <t>06 1 00 80430</t>
      </is>
    </nc>
  </rcc>
  <rcc rId="4107" sId="1">
    <nc r="B313" t="inlineStr">
      <is>
        <t>06 1 00 80430</t>
      </is>
    </nc>
  </rcc>
  <rfmt sheetId="1" sqref="A313:XFD314">
    <dxf>
      <fill>
        <patternFill>
          <bgColor rgb="FFFFFF00"/>
        </patternFill>
      </fill>
    </dxf>
  </rfmt>
  <rcc rId="4108" sId="1">
    <nc r="D313">
      <f>D314</f>
    </nc>
  </rcc>
  <rcc rId="4109" sId="1">
    <nc r="E313">
      <f>E314</f>
    </nc>
  </rcc>
  <rcc rId="4110" sId="1">
    <nc r="F313">
      <f>F314</f>
    </nc>
  </rcc>
  <rrc rId="4111" sId="1" ref="A309:XFD309" action="deleteRow">
    <undo index="3" exp="ref" v="1" dr="F309" r="F301" sId="1"/>
    <undo index="3" exp="ref" v="1" dr="E309" r="E301" sId="1"/>
    <undo index="3" exp="ref" v="1" dr="D309" r="D301" sId="1"/>
    <rfmt sheetId="1" xfDxf="1" sqref="A309:XFD309" start="0" length="0">
      <dxf>
        <font>
          <name val="Times New Roman"/>
          <scheme val="none"/>
        </font>
        <alignment vertical="center" readingOrder="0"/>
      </dxf>
    </rfmt>
    <rcc rId="0" sId="1" dxf="1">
      <nc r="A309" t="inlineStr">
        <is>
          <t>Мероприятия в области физической культуры и спорта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309" t="inlineStr">
        <is>
          <t>06 1 00 80430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309" start="0" length="0">
      <dxf>
        <numFmt numFmtId="166" formatCode="_(* #,##0_);_(* \(#,##0\);_(* &quot;-&quot;??_);_(@_)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09">
        <f>D311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09">
        <f>E311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09">
        <f>F311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112" sId="1">
    <oc r="D301">
      <f>D302+D305+#REF!</f>
    </oc>
    <nc r="D301">
      <f>D302+D305+D309+D312</f>
    </nc>
  </rcc>
  <rcc rId="4113" sId="1">
    <oc r="E301">
      <f>E302+E305+#REF!</f>
    </oc>
    <nc r="E301">
      <f>E302+E305+E309+E312</f>
    </nc>
  </rcc>
  <rcc rId="4114" sId="1">
    <oc r="F301">
      <f>F302+F305+#REF!</f>
    </oc>
    <nc r="F301">
      <f>F302+F305+F309+F312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6:A38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rc rId="4115" sId="1" ref="A772:XFD772" action="insertRow"/>
  <rrc rId="4116" sId="1" ref="A772:XFD772" action="insertRow"/>
  <rrc rId="4117" sId="1" ref="A772:XFD772" action="insertRow"/>
  <rrc rId="4118" sId="1" ref="A772:XFD772" action="insertRow"/>
  <rcc rId="4119" sId="1">
    <nc r="C775">
      <v>244</v>
    </nc>
  </rcc>
  <rcc rId="4120" sId="1">
    <nc r="C774">
      <v>240</v>
    </nc>
  </rcc>
  <rcc rId="4121" sId="1">
    <nc r="C773">
      <v>200</v>
    </nc>
  </rcc>
  <rcc rId="4122" sId="1" xfDxf="1" dxf="1">
    <nc r="B772" t="inlineStr">
      <is>
        <t>59 0 00 83661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23" sId="1" xfDxf="1" dxf="1">
    <nc r="B773" t="inlineStr">
      <is>
        <t>59 0 00 83661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24" sId="1" xfDxf="1" dxf="1">
    <nc r="B774" t="inlineStr">
      <is>
        <t>59 0 00 83661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25" sId="1" xfDxf="1" dxf="1">
    <nc r="B775" t="inlineStr">
      <is>
        <t>59 0 00 83661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26" sId="1">
    <nc r="D774">
      <f>D775</f>
    </nc>
  </rcc>
  <rcc rId="4127" sId="1">
    <nc r="E774">
      <f>E775</f>
    </nc>
  </rcc>
  <rcc rId="4128" sId="1">
    <nc r="F774">
      <f>F775</f>
    </nc>
  </rcc>
  <rcc rId="4129" sId="1">
    <nc r="D772">
      <f>D773</f>
    </nc>
  </rcc>
  <rcc rId="4130" sId="1">
    <nc r="E772">
      <f>E773</f>
    </nc>
  </rcc>
  <rcc rId="4131" sId="1">
    <nc r="F772">
      <f>F773</f>
    </nc>
  </rcc>
  <rcc rId="4132" sId="1">
    <nc r="D773">
      <f>D774</f>
    </nc>
  </rcc>
  <rcc rId="4133" sId="1">
    <nc r="E773">
      <f>E774</f>
    </nc>
  </rcc>
  <rcc rId="4134" sId="1">
    <nc r="F773">
      <f>F774</f>
    </nc>
  </rcc>
  <rcc rId="4135" sId="1" xfDxf="1" dxf="1">
    <nc r="A772" t="inlineStr">
      <is>
        <t>Затраты на обследование жилищного фонда на признание многоквартирных домов аварийными и подлежащими сносу или реконструкции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36" sId="1" xfDxf="1" dxf="1">
    <nc r="A773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37" sId="1" xfDxf="1" dxf="1">
    <nc r="A774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38" sId="1" xfDxf="1" dxf="1">
    <nc r="A775" t="inlineStr">
      <is>
        <t>Прочая закупка товаров, работ и услуг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39" sId="1">
    <oc r="D743">
      <f>D744+D752+D756+D776+D768</f>
    </oc>
    <nc r="D743">
      <f>D744+D752+D756+D776+D768+D772</f>
    </nc>
  </rcc>
  <rcc rId="4140" sId="1">
    <oc r="E743">
      <f>E744+E752+E756+E776+E768</f>
    </oc>
    <nc r="E743">
      <f>E744+E752+E756+E776+E768+E772</f>
    </nc>
  </rcc>
  <rcc rId="4141" sId="1">
    <oc r="F743">
      <f>F744+F752+F756+F776+F768</f>
    </oc>
    <nc r="F743">
      <f>F744+F752+F756+F776+F768+F772</f>
    </nc>
  </rcc>
  <rcv guid="{D9B90A86-BE39-4FED-8226-084809D277F3}" action="delete"/>
  <rdn rId="0" localSheetId="1" customView="1" name="Z_D9B90A86_BE39_4FED_8226_084809D277F3_.wvu.PrintArea" hidden="1" oldHidden="1">
    <formula>'программы '!$A$1:$F$899</formula>
    <oldFormula>'программы '!$A$1:$F$899</oldFormula>
  </rdn>
  <rdn rId="0" localSheetId="1" customView="1" name="Z_D9B90A86_BE39_4FED_8226_084809D277F3_.wvu.Rows" hidden="1" oldHidden="1">
    <formula>'программы '!$294:$298</formula>
    <oldFormula>'программы '!$294:$298</oldFormula>
  </rdn>
  <rdn rId="0" localSheetId="1" customView="1" name="Z_D9B90A86_BE39_4FED_8226_084809D277F3_.wvu.FilterData" hidden="1" oldHidden="1">
    <formula>'программы '!$A$1:$A$912</formula>
    <oldFormula>'программы '!$A$1:$A$912</oldFormula>
  </rdn>
  <rcv guid="{D9B90A86-BE39-4FED-8226-084809D277F3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72:XFD775">
    <dxf>
      <fill>
        <patternFill>
          <bgColor rgb="FFFFFF00"/>
        </patternFill>
      </fill>
    </dxf>
  </rfmt>
  <rfmt sheetId="1" sqref="A772">
    <dxf>
      <fill>
        <patternFill>
          <bgColor rgb="FF00B050"/>
        </patternFill>
      </fill>
    </dxf>
  </rfmt>
  <rrc rId="4145" sId="1" ref="A791:XFD791" action="insertRow"/>
  <rrc rId="4146" sId="1" ref="A791:XFD791" action="insertRow"/>
  <rrc rId="4147" sId="1" ref="A791:XFD791" action="insertRow"/>
  <rrc rId="4148" sId="1" ref="A791:XFD791" action="insertRow"/>
  <rcc rId="4149" sId="1">
    <nc r="C794" t="inlineStr">
      <is>
        <t>811</t>
      </is>
    </nc>
  </rcc>
  <rcc rId="4150" sId="1">
    <nc r="C793" t="inlineStr">
      <is>
        <t>810</t>
      </is>
    </nc>
  </rcc>
  <rcc rId="4151" sId="1">
    <nc r="C792" t="inlineStr">
      <is>
        <t>800</t>
      </is>
    </nc>
  </rcc>
  <rcc rId="4152" sId="1" xfDxf="1" dxf="1">
    <nc r="A791" t="inlineStr">
      <is>
        <t>Возмещение убытков МУП "Плесецк-Ресурс", связанных с оказанием банных услуг на территории пос.Североонежск, по тарифам, не обеспечивающим возмещение издержек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53" sId="1" xfDxf="1" dxf="1">
    <nc r="A792" t="inlineStr">
      <is>
        <t>Иные бюджетные ассигнования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54" sId="1" xfDxf="1" dxf="1">
    <nc r="A793" t="inlineStr">
      <is>
    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55" sId="1" xfDxf="1" dxf="1">
    <nc r="A794" t="inlineStr">
      <is>
    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56" sId="1" xfDxf="1" dxf="1">
    <nc r="B791" t="inlineStr">
      <is>
        <t>59 0 00 83694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57" sId="1" xfDxf="1" dxf="1">
    <nc r="B792" t="inlineStr">
      <is>
        <t>59 0 00 83694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58" sId="1" xfDxf="1" dxf="1">
    <nc r="B793" t="inlineStr">
      <is>
        <t>59 0 00 83694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59" sId="1" xfDxf="1" dxf="1">
    <nc r="B794" t="inlineStr">
      <is>
        <t>59 0 00 83694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60" sId="1">
    <nc r="D793">
      <f>D794</f>
    </nc>
  </rcc>
  <rcc rId="4161" sId="1">
    <nc r="E793">
      <f>E794</f>
    </nc>
  </rcc>
  <rcc rId="4162" sId="1">
    <nc r="F793">
      <f>F794</f>
    </nc>
  </rcc>
  <rcc rId="4163" sId="1">
    <nc r="D791">
      <f>D792</f>
    </nc>
  </rcc>
  <rcc rId="4164" sId="1">
    <nc r="E791">
      <f>E792</f>
    </nc>
  </rcc>
  <rcc rId="4165" sId="1">
    <nc r="F791">
      <f>F792</f>
    </nc>
  </rcc>
  <rcc rId="4166" sId="1">
    <nc r="D792">
      <f>D793</f>
    </nc>
  </rcc>
  <rcc rId="4167" sId="1">
    <nc r="E792">
      <f>E793</f>
    </nc>
  </rcc>
  <rcc rId="4168" sId="1">
    <nc r="F792">
      <f>F793</f>
    </nc>
  </rcc>
  <rfmt sheetId="1" sqref="A791:XFD794">
    <dxf>
      <fill>
        <patternFill>
          <bgColor rgb="FFFFFF00"/>
        </patternFill>
      </fill>
    </dxf>
  </rfmt>
  <rcc rId="4169" sId="1">
    <oc r="D776">
      <f>D781+D777+D783+D787</f>
    </oc>
    <nc r="D776">
      <f>D781+D777+D783+D787+D791</f>
    </nc>
  </rcc>
  <rcc rId="4170" sId="1">
    <oc r="E776">
      <f>E781+E777+E783+E787</f>
    </oc>
    <nc r="E776">
      <f>E781+E777+E783+E787+E791</f>
    </nc>
  </rcc>
  <rcc rId="4171" sId="1">
    <oc r="F776">
      <f>F781+F777+F783+F787</f>
    </oc>
    <nc r="F776">
      <f>F781+F777+F783+F787+F791</f>
    </nc>
  </rcc>
  <rrc rId="4172" sId="1" ref="A253:XFD253" action="insertRow">
    <undo index="0" exp="area" ref3D="1" dr="$A$294:$XFD$298" dn="Z_D9B90A86_BE39_4FED_8226_084809D277F3_.wvu.Rows" sId="1"/>
    <undo index="0" exp="area" ref3D="1" dr="$A$294:$XFD$298" dn="Z_30E81E54_DD45_4653_9DCD_548F6723F554_.wvu.Rows" sId="1"/>
  </rrc>
  <rrc rId="4173" sId="1" ref="A253:XFD253" action="insertRow">
    <undo index="0" exp="area" ref3D="1" dr="$A$295:$XFD$299" dn="Z_D9B90A86_BE39_4FED_8226_084809D277F3_.wvu.Rows" sId="1"/>
    <undo index="0" exp="area" ref3D="1" dr="$A$295:$XFD$299" dn="Z_30E81E54_DD45_4653_9DCD_548F6723F554_.wvu.Rows" sId="1"/>
  </rrc>
  <rrc rId="4174" sId="1" ref="A253:XFD253" action="insertRow">
    <undo index="0" exp="area" ref3D="1" dr="$A$296:$XFD$300" dn="Z_D9B90A86_BE39_4FED_8226_084809D277F3_.wvu.Rows" sId="1"/>
    <undo index="0" exp="area" ref3D="1" dr="$A$296:$XFD$300" dn="Z_30E81E54_DD45_4653_9DCD_548F6723F554_.wvu.Rows" sId="1"/>
  </rrc>
  <rrc rId="4175" sId="1" ref="A254:XFD254" action="insertRow">
    <undo index="0" exp="area" ref3D="1" dr="$A$297:$XFD$301" dn="Z_D9B90A86_BE39_4FED_8226_084809D277F3_.wvu.Rows" sId="1"/>
    <undo index="0" exp="area" ref3D="1" dr="$A$297:$XFD$301" dn="Z_30E81E54_DD45_4653_9DCD_548F6723F554_.wvu.Rows" sId="1"/>
  </rrc>
  <rcc rId="4176" sId="1" xfDxf="1" dxf="1">
    <nc r="B253" t="inlineStr">
      <is>
        <t>04 0 00 80740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77" sId="1" xfDxf="1" dxf="1">
    <nc r="B254" t="inlineStr">
      <is>
        <t>04 0 00 80740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78" sId="1" xfDxf="1" dxf="1">
    <nc r="B255" t="inlineStr">
      <is>
        <t>04 0 00 80740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79" sId="1" xfDxf="1" dxf="1">
    <nc r="B256" t="inlineStr">
      <is>
        <t>04 0 00 80740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readingOrder="0"/>
      <border outline="0">
        <top style="thin">
          <color indexed="64"/>
        </top>
        <bottom style="thin">
          <color indexed="64"/>
        </bottom>
      </border>
    </ndxf>
  </rcc>
  <rcc rId="4180" sId="1">
    <nc r="C256" t="inlineStr">
      <is>
        <t>244</t>
      </is>
    </nc>
  </rcc>
  <rcc rId="4181" sId="1">
    <nc r="C255" t="inlineStr">
      <is>
        <t>240</t>
      </is>
    </nc>
  </rcc>
  <rcc rId="4182" sId="1">
    <nc r="C254" t="inlineStr">
      <is>
        <t>200</t>
      </is>
    </nc>
  </rcc>
  <rcc rId="4183" sId="1" xfDxf="1" dxf="1">
    <nc r="A256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84" sId="1" xfDxf="1" dxf="1">
    <nc r="A255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85" sId="1" xfDxf="1" dxf="1">
    <nc r="A254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186" sId="1" xfDxf="1" dxf="1">
    <nc r="A253" t="inlineStr">
      <is>
        <t>Мероприятия в сфере охраны окружающей среды и обеспечения экологической безопасности населения</t>
      </is>
    </nc>
    <ndxf>
      <font>
        <name val="Times New Roman"/>
        <scheme val="none"/>
      </font>
      <fill>
        <patternFill patternType="solid">
          <bgColor rgb="FFFFFF0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rc rId="4187" sId="1" ref="A253:XFD253" action="deleteRow">
    <undo index="0" exp="area" ref3D="1" dr="$A$298:$XFD$302" dn="Z_D9B90A86_BE39_4FED_8226_084809D277F3_.wvu.Rows" sId="1"/>
    <undo index="0" exp="area" ref3D="1" dr="$A$298:$XFD$302" dn="Z_30E81E54_DD45_4653_9DCD_548F6723F554_.wvu.Rows" sId="1"/>
    <rfmt sheetId="1" xfDxf="1" sqref="A253:XFD25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253" t="inlineStr">
        <is>
          <t>Мероприятия в сфере охраны окружающей среды и обеспечения экологической безопасности населения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53" t="inlineStr">
        <is>
          <t>04 0 00 80740</t>
        </is>
      </nc>
      <ndxf>
        <numFmt numFmtId="30" formatCode="@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fmt sheetId="1" sqref="C253" start="0" length="0">
      <dxf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="1" sqref="D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88" sId="1" ref="A253:XFD253" action="deleteRow">
    <undo index="0" exp="area" ref3D="1" dr="$A$297:$XFD$301" dn="Z_D9B90A86_BE39_4FED_8226_084809D277F3_.wvu.Rows" sId="1"/>
    <undo index="0" exp="area" ref3D="1" dr="$A$297:$XFD$301" dn="Z_30E81E54_DD45_4653_9DCD_548F6723F554_.wvu.Rows" sId="1"/>
    <rfmt sheetId="1" xfDxf="1" sqref="A253:XFD25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253" t="inlineStr">
        <is>
          <t>Закупка товаров, работ и услуг для обеспечения государственных (муниципальных) нужд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53" t="inlineStr">
        <is>
          <t>04 0 00 80740</t>
        </is>
      </nc>
      <ndxf>
        <numFmt numFmtId="30" formatCode="@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253" t="inlineStr">
        <is>
          <t>200</t>
        </is>
      </nc>
      <ndxf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="1" sqref="D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89" sId="1" ref="A253:XFD253" action="deleteRow">
    <undo index="0" exp="area" ref3D="1" dr="$A$296:$XFD$300" dn="Z_D9B90A86_BE39_4FED_8226_084809D277F3_.wvu.Rows" sId="1"/>
    <undo index="0" exp="area" ref3D="1" dr="$A$296:$XFD$300" dn="Z_30E81E54_DD45_4653_9DCD_548F6723F554_.wvu.Rows" sId="1"/>
    <rfmt sheetId="1" xfDxf="1" sqref="A253:XFD25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253" t="inlineStr">
        <is>
          <t>Иные закупки товаров,работ и услуг для обеспечения государственных (муниципальных) нужд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53" t="inlineStr">
        <is>
          <t>04 0 00 80740</t>
        </is>
      </nc>
      <ndxf>
        <numFmt numFmtId="30" formatCode="@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253" t="inlineStr">
        <is>
          <t>240</t>
        </is>
      </nc>
      <ndxf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="1" sqref="D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90" sId="1" ref="A253:XFD253" action="deleteRow">
    <undo index="0" exp="area" ref3D="1" dr="$A$295:$XFD$299" dn="Z_D9B90A86_BE39_4FED_8226_084809D277F3_.wvu.Rows" sId="1"/>
    <undo index="0" exp="area" ref3D="1" dr="$A$295:$XFD$299" dn="Z_30E81E54_DD45_4653_9DCD_548F6723F554_.wvu.Rows" sId="1"/>
    <rfmt sheetId="1" xfDxf="1" sqref="A253:XFD253" start="0" length="0">
      <dxf>
        <font>
          <name val="Times New Roman"/>
          <scheme val="none"/>
        </font>
        <fill>
          <patternFill patternType="solid">
            <bgColor rgb="FFFFFF00"/>
          </patternFill>
        </fill>
        <alignment vertical="center" readingOrder="0"/>
      </dxf>
    </rfmt>
    <rcc rId="0" sId="1" dxf="1">
      <nc r="A253" t="inlineStr">
        <is>
          <t xml:space="preserve">Прочая закупка товаров, работ и услуг </t>
        </is>
      </nc>
      <ndxf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253" t="inlineStr">
        <is>
          <t>04 0 00 80740</t>
        </is>
      </nc>
      <ndxf>
        <numFmt numFmtId="30" formatCode="@"/>
        <alignment horizontal="center" readingOrder="0"/>
        <border outline="0">
          <top style="thin">
            <color indexed="64"/>
          </top>
          <bottom style="thin">
            <color indexed="64"/>
          </bottom>
        </border>
      </ndxf>
    </rcc>
    <rcc rId="0" sId="1" dxf="1">
      <nc r="C253" t="inlineStr">
        <is>
          <t>244</t>
        </is>
      </nc>
      <ndxf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="1" sqref="D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53" start="0" length="0">
      <dxf>
        <numFmt numFmtId="164" formatCode="_-* #,##0.00_р_._-;\-* #,##0.00_р_._-;_-* &quot;-&quot;??_р_._-;_-@_-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v guid="{D9B90A86-BE39-4FED-8226-084809D277F3}" action="delete"/>
  <rdn rId="0" localSheetId="1" customView="1" name="Z_D9B90A86_BE39_4FED_8226_084809D277F3_.wvu.PrintArea" hidden="1" oldHidden="1">
    <formula>'программы '!$A$1:$F$903</formula>
    <oldFormula>'программы '!$A$1:$F$903</oldFormula>
  </rdn>
  <rdn rId="0" localSheetId="1" customView="1" name="Z_D9B90A86_BE39_4FED_8226_084809D277F3_.wvu.Rows" hidden="1" oldHidden="1">
    <formula>'программы '!$294:$298</formula>
    <oldFormula>'программы '!$294:$298</oldFormula>
  </rdn>
  <rdn rId="0" localSheetId="1" customView="1" name="Z_D9B90A86_BE39_4FED_8226_084809D277F3_.wvu.FilterData" hidden="1" oldHidden="1">
    <formula>'программы '!$A$1:$A$916</formula>
    <oldFormula>'программы '!$A$1:$A$916</oldFormula>
  </rdn>
  <rcv guid="{D9B90A86-BE39-4FED-8226-084809D277F3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D9B90A86_BE39_4FED_8226_084809D277F3_.wvu.Rows" hidden="1" oldHidden="1">
    <oldFormula>'программы '!$294:$298</oldFormula>
  </rdn>
  <rcv guid="{D9B90A86-BE39-4FED-8226-084809D277F3}" action="delete"/>
  <rdn rId="0" localSheetId="1" customView="1" name="Z_D9B90A86_BE39_4FED_8226_084809D277F3_.wvu.PrintArea" hidden="1" oldHidden="1">
    <formula>'программы '!$A$1:$F$903</formula>
    <oldFormula>'программы '!$A$1:$F$903</oldFormula>
  </rdn>
  <rdn rId="0" localSheetId="1" customView="1" name="Z_D9B90A86_BE39_4FED_8226_084809D277F3_.wvu.FilterData" hidden="1" oldHidden="1">
    <formula>'программы '!$C$1:$C$911</formula>
    <oldFormula>'программы '!$A$1:$A$916</oldFormula>
  </rdn>
  <rcv guid="{D9B90A86-BE39-4FED-8226-084809D277F3}" action="add"/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7" sId="1" xfDxf="1" dxf="1">
    <oc r="A102" t="inlineStr">
      <is>
        <t xml:space="preserve">Субсидии бюджетным учреждениям на  финансовое обеспечение государственного (муниципального) задания на оказание государственных (муниципальных) услуг (выполнение работ) </t>
      </is>
    </oc>
    <nc r="A102" t="inlineStr">
      <is>
        <t>Субсидии бюджетным учреждениям на иные цели</t>
      </is>
    </nc>
    <ndxf>
      <font>
        <name val="Times New Roman"/>
        <scheme val="none"/>
      </font>
      <numFmt numFmtId="30" formatCode="@"/>
      <fill>
        <patternFill patternType="solid">
          <bgColor rgb="FFFFFF0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'!$A$1:$F$903</formula>
    <oldFormula>'программы '!$A$1:$F$903</oldFormula>
  </rdn>
  <rdn rId="0" localSheetId="1" customView="1" name="Z_D9B90A86_BE39_4FED_8226_084809D277F3_.wvu.FilterData" hidden="1" oldHidden="1">
    <formula>'программы '!$C$1:$C$911</formula>
    <oldFormula>'программы '!$C$1:$C$911</oldFormula>
  </rdn>
  <rcv guid="{D9B90A86-BE39-4FED-8226-084809D277F3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00" sId="1" xfDxf="1" dxf="1">
    <oc r="A390" t="inlineStr">
      <is>
        <t>Мероприятия в сфере профилактики правонарушений</t>
      </is>
    </oc>
    <nc r="A390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01" sId="1" xfDxf="1" dxf="1">
    <oc r="A389" t="inlineStr">
      <is>
        <t xml:space="preserve">Прочая закупка товаров, работ и услуг </t>
      </is>
    </oc>
    <nc r="A389" t="inlineStr">
      <is>
        <t>Иные закупки товаров,работ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4202" sId="1" xfDxf="1" dxf="1">
    <oc r="A388" t="inlineStr">
      <is>
        <t>Иные закупки товаров,работ и услуг для обеспечения государственных (муниципальных) нужд</t>
      </is>
    </oc>
    <nc r="A388" t="inlineStr">
      <is>
        <t>Закупка товаров, работ и услуг для обеспечения государственных (муниципальных) нужд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fmt sheetId="1" sqref="C382:C396">
    <dxf>
      <numFmt numFmtId="0" formatCode="General"/>
    </dxf>
  </rfmt>
  <rfmt sheetId="1" sqref="C371:C899">
    <dxf>
      <numFmt numFmtId="0" formatCode="General"/>
    </dxf>
  </rfmt>
  <rfmt sheetId="1" sqref="C268:C333">
    <dxf>
      <numFmt numFmtId="0" formatCode="General"/>
    </dxf>
  </rfmt>
  <rfmt sheetId="1" sqref="C356:C359">
    <dxf>
      <alignment horizontal="general" readingOrder="0"/>
    </dxf>
  </rfmt>
  <rfmt sheetId="1" sqref="C356:C359">
    <dxf>
      <alignment horizontal="center" readingOrder="0"/>
    </dxf>
  </rfmt>
  <rfmt sheetId="1" sqref="C356:C359">
    <dxf>
      <alignment vertical="bottom" readingOrder="0"/>
    </dxf>
  </rfmt>
  <rfmt sheetId="1" sqref="C356:C359">
    <dxf>
      <alignment vertical="center" readingOrder="0"/>
    </dxf>
  </rfmt>
  <rfmt sheetId="1" sqref="C356:C359">
    <dxf>
      <alignment horizontal="general" readingOrder="0"/>
    </dxf>
  </rfmt>
  <rfmt sheetId="1" sqref="C356:C359">
    <dxf>
      <numFmt numFmtId="0" formatCode="General"/>
    </dxf>
  </rfmt>
  <rfmt sheetId="1" sqref="C358">
    <dxf>
      <alignment horizontal="center" readingOrder="0"/>
    </dxf>
  </rfmt>
  <rfmt sheetId="1" sqref="C356:C360">
    <dxf>
      <alignment horizontal="center" readingOrder="0"/>
    </dxf>
  </rfmt>
  <rcc rId="4203" sId="1" xfDxf="1" dxf="1">
    <oc r="A387" t="inlineStr">
      <is>
        <t>Закупка товаров, работ и услуг для обеспечения государственных (муниципальных) нужд</t>
      </is>
    </oc>
    <nc r="A387" t="inlineStr">
      <is>
        <t>Мероприятия в сфере профилактики правонарушений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rc rId="4204" sId="1" ref="A386:XFD386" action="deleteRow">
    <undo index="0" exp="ref" v="1" dr="F386" r="F385" sId="1"/>
    <undo index="0" exp="ref" v="1" dr="E386" r="E385" sId="1"/>
    <undo index="0" exp="ref" v="1" dr="D386" r="D385" sId="1"/>
    <undo index="0" exp="ref" v="1" dr="F386" r="F384" sId="1"/>
    <undo index="0" exp="ref" v="1" dr="E386" r="E384" sId="1"/>
    <undo index="0" exp="ref" v="1" dr="D386" r="D384" sId="1"/>
    <rfmt sheetId="1" xfDxf="1" sqref="A386:XFD386" start="0" length="0">
      <dxf>
        <font>
          <name val="Times New Roman"/>
          <scheme val="none"/>
        </font>
        <alignment vertical="center" readingOrder="0"/>
      </dxf>
    </rfmt>
    <rcc rId="0" sId="1" dxf="1">
      <nc r="A386" t="inlineStr">
        <is>
          <t>Мероприятия в сфере профилактики правонарушений</t>
        </is>
      </nc>
      <ndxf>
        <fill>
          <patternFill patternType="solid">
            <bgColor theme="0"/>
          </patternFill>
        </fill>
        <alignment horizontal="justify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B386" t="inlineStr">
        <is>
          <t>11 1 00 80500</t>
        </is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="1" sqref="C386" start="0" length="0">
      <dxf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386">
        <f>D387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E386">
        <f>E387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386">
        <f>F387</f>
      </nc>
      <ndxf>
        <numFmt numFmtId="164" formatCode="_-* #,##0.00_р_._-;\-* #,##0.00_р_._-;_-* &quot;-&quot;??_р_._-;_-@_-"/>
        <fill>
          <patternFill patternType="solid">
            <bgColor theme="0"/>
          </patternFill>
        </fill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05" sId="1">
    <oc r="E388">
      <f>E389</f>
    </oc>
    <nc r="E388">
      <f>E389</f>
    </nc>
  </rcc>
  <rcc rId="4206" sId="1">
    <oc r="F388">
      <f>F389</f>
    </oc>
    <nc r="F388">
      <f>F389</f>
    </nc>
  </rcc>
  <rcc rId="4207" sId="1" odxf="1" dxf="1">
    <oc r="D385">
      <f>#REF!</f>
    </oc>
    <nc r="D385">
      <f>D386</f>
    </nc>
    <odxf>
      <font>
        <b/>
        <name val="Times New Roman"/>
        <scheme val="none"/>
      </font>
      <border outline="0">
        <left style="thin">
          <color indexed="64"/>
        </left>
      </border>
    </odxf>
    <ndxf>
      <font>
        <b val="0"/>
        <name val="Times New Roman"/>
        <scheme val="none"/>
      </font>
      <border outline="0">
        <left/>
      </border>
    </ndxf>
  </rcc>
  <rcc rId="4208" sId="1" odxf="1" dxf="1">
    <oc r="E385">
      <f>#REF!</f>
    </oc>
    <nc r="E385">
      <f>E386</f>
    </nc>
    <odxf>
      <font>
        <b/>
        <name val="Times New Roman"/>
        <scheme val="none"/>
      </font>
      <border outline="0">
        <left style="thin">
          <color indexed="64"/>
        </left>
      </border>
    </odxf>
    <ndxf>
      <font>
        <b val="0"/>
        <name val="Times New Roman"/>
        <scheme val="none"/>
      </font>
      <border outline="0">
        <left/>
      </border>
    </ndxf>
  </rcc>
  <rcc rId="4209" sId="1" odxf="1" dxf="1">
    <oc r="F385">
      <f>#REF!</f>
    </oc>
    <nc r="F385">
      <f>F386</f>
    </nc>
    <odxf>
      <font>
        <b/>
        <name val="Times New Roman"/>
        <scheme val="none"/>
      </font>
      <border outline="0">
        <left style="thin">
          <color indexed="64"/>
        </left>
      </border>
    </odxf>
    <ndxf>
      <font>
        <b val="0"/>
        <name val="Times New Roman"/>
        <scheme val="none"/>
      </font>
      <border outline="0">
        <left/>
      </border>
    </ndxf>
  </rcc>
  <rcc rId="4210" sId="1">
    <oc r="D386">
      <f>D388</f>
    </oc>
    <nc r="D386">
      <f>D387</f>
    </nc>
  </rcc>
  <rcc rId="4211" sId="1">
    <oc r="E386">
      <f>E388</f>
    </oc>
    <nc r="E386">
      <f>E387</f>
    </nc>
  </rcc>
  <rcc rId="4212" sId="1">
    <oc r="F386">
      <f>F388</f>
    </oc>
    <nc r="F386">
      <f>F387</f>
    </nc>
  </rcc>
  <rcc rId="4213" sId="1">
    <oc r="D387">
      <f>D388</f>
    </oc>
    <nc r="D387">
      <f>D388</f>
    </nc>
  </rcc>
  <rcc rId="4214" sId="1">
    <oc r="E387">
      <f>E388</f>
    </oc>
    <nc r="E387">
      <f>E388</f>
    </nc>
  </rcc>
  <rcc rId="4215" sId="1">
    <oc r="F387">
      <f>F388</f>
    </oc>
    <nc r="F387">
      <f>F388</f>
    </nc>
  </rcc>
  <rcc rId="4216" sId="1" odxf="1" dxf="1">
    <oc r="D384">
      <f>#REF!</f>
    </oc>
    <nc r="D384">
      <f>D385</f>
    </nc>
    <odxf>
      <font>
        <b/>
        <i/>
        <name val="Times New Roman"/>
        <scheme val="none"/>
      </font>
      <border outline="0">
        <left style="thin">
          <color indexed="64"/>
        </left>
      </border>
    </odxf>
    <ndxf>
      <font>
        <b val="0"/>
        <i val="0"/>
        <name val="Times New Roman"/>
        <scheme val="none"/>
      </font>
      <border outline="0">
        <left/>
      </border>
    </ndxf>
  </rcc>
  <rcc rId="4217" sId="1" odxf="1" dxf="1">
    <oc r="E384">
      <f>#REF!</f>
    </oc>
    <nc r="E384">
      <f>E385</f>
    </nc>
    <odxf>
      <font>
        <b/>
        <i/>
        <name val="Times New Roman"/>
        <scheme val="none"/>
      </font>
      <border outline="0">
        <left style="thin">
          <color indexed="64"/>
        </left>
      </border>
    </odxf>
    <ndxf>
      <font>
        <b val="0"/>
        <i val="0"/>
        <name val="Times New Roman"/>
        <scheme val="none"/>
      </font>
      <border outline="0">
        <left/>
      </border>
    </ndxf>
  </rcc>
  <rcc rId="4218" sId="1" odxf="1" dxf="1">
    <oc r="F384">
      <f>#REF!</f>
    </oc>
    <nc r="F384">
      <f>F385</f>
    </nc>
    <odxf>
      <font>
        <b/>
        <i/>
        <name val="Times New Roman"/>
        <scheme val="none"/>
      </font>
      <border outline="0">
        <left style="thin">
          <color indexed="64"/>
        </left>
      </border>
    </odxf>
    <ndxf>
      <font>
        <b val="0"/>
        <i val="0"/>
        <name val="Times New Roman"/>
        <scheme val="none"/>
      </font>
      <border outline="0">
        <left/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'!$A$1:$F$902</formula>
    <oldFormula>'программы '!$A$1:$F$902</oldFormula>
  </rdn>
  <rdn rId="0" localSheetId="1" customView="1" name="Z_D9B90A86_BE39_4FED_8226_084809D277F3_.wvu.FilterData" hidden="1" oldHidden="1">
    <formula>'программы '!$C$1:$C$910</formula>
    <oldFormula>'программы '!$C$1:$C$910</oldFormula>
  </rdn>
  <rcv guid="{D9B90A86-BE39-4FED-8226-084809D277F3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69:A373" start="0" length="0">
    <dxf>
      <border>
        <left style="thin">
          <color indexed="64"/>
        </left>
      </border>
    </dxf>
  </rfmt>
  <rfmt sheetId="1" sqref="A369:D373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4221" sId="1" xfDxf="1" dxf="1">
    <oc r="A346" t="inlineStr">
      <is>
        <t xml:space="preserve">Закупка товаров, работ, услуг в целях капитального
ремонта государственного (муниципального) имущества
</t>
      </is>
    </oc>
    <nc r="A346" t="inlineStr">
      <is>
        <t xml:space="preserve">Прочая закупка товаров, работ и услуг </t>
      </is>
    </nc>
    <ndxf>
      <font>
        <name val="Times New Roman"/>
        <scheme val="none"/>
      </font>
      <fill>
        <patternFill patternType="solid">
          <bgColor theme="0"/>
        </patternFill>
      </fill>
      <alignment horizontal="justify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'!$A$1:$F$902</formula>
    <oldFormula>'программы '!$A$1:$F$902</oldFormula>
  </rdn>
  <rdn rId="0" localSheetId="1" customView="1" name="Z_D9B90A86_BE39_4FED_8226_084809D277F3_.wvu.FilterData" hidden="1" oldHidden="1">
    <formula>'программы '!$C$1:$C$910</formula>
    <oldFormula>'программы '!$C$1:$C$910</oldFormula>
  </rdn>
  <rcv guid="{D9B90A86-BE39-4FED-8226-084809D277F3}" action="add"/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>
    <oc r="A308" t="inlineStr">
      <is>
        <t>Закупка энергетических ресурсов уличное освещение</t>
      </is>
    </oc>
    <nc r="A308" t="inlineStr">
      <is>
        <t xml:space="preserve">Закупка энергетических ресурсов </t>
      </is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5" sId="1" xfDxf="1" dxf="1">
    <oc r="A440" t="inlineStr">
      <is>
        <t xml:space="preserve">Фонд оплаты труда казенных учрездений </t>
      </is>
    </oc>
    <nc r="A440" t="inlineStr">
      <is>
        <t>Фонд оплаты труда государственных (муниципальных) органов</t>
      </is>
    </nc>
    <ndxf>
      <font>
        <name val="Times New Roman"/>
        <scheme val="none"/>
      </font>
      <fill>
        <patternFill patternType="solid">
          <bgColor theme="0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v guid="{D9B90A86-BE39-4FED-8226-084809D277F3}" action="delete"/>
  <rdn rId="0" localSheetId="1" customView="1" name="Z_D9B90A86_BE39_4FED_8226_084809D277F3_.wvu.PrintArea" hidden="1" oldHidden="1">
    <formula>'программы '!$A$1:$F$902</formula>
    <oldFormula>'программы '!$A$1:$F$902</oldFormula>
  </rdn>
  <rdn rId="0" localSheetId="1" customView="1" name="Z_D9B90A86_BE39_4FED_8226_084809D277F3_.wvu.FilterData" hidden="1" oldHidden="1">
    <formula>'программы '!$C$1:$C$910</formula>
    <oldFormula>'программы '!$C$1:$C$910</oldFormula>
  </rdn>
  <rcv guid="{D9B90A86-BE39-4FED-8226-084809D277F3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9B90A86-BE39-4FED-8226-084809D277F3}" action="delete"/>
  <rdn rId="0" localSheetId="1" customView="1" name="Z_D9B90A86_BE39_4FED_8226_084809D277F3_.wvu.PrintArea" hidden="1" oldHidden="1">
    <formula>'программы '!$A$1:$F$902</formula>
    <oldFormula>'программы '!$A$1:$F$902</oldFormula>
  </rdn>
  <rdn rId="0" localSheetId="1" customView="1" name="Z_D9B90A86_BE39_4FED_8226_084809D277F3_.wvu.FilterData" hidden="1" oldHidden="1">
    <formula>'программы '!$C$1:$C$910</formula>
    <oldFormula>'программы '!$C$1:$C$910</oldFormula>
  </rdn>
  <rcv guid="{D9B90A86-BE39-4FED-8226-084809D277F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23465155-9D86-4123-B8B6-780618B828F3}" name="Молчанова Елена Валерьевна" id="-1879577220" dateTime="2024-01-23T10:24:0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6"/>
  <sheetViews>
    <sheetView tabSelected="1" view="pageBreakPreview" zoomScale="80" zoomScaleNormal="100" zoomScaleSheetLayoutView="80" workbookViewId="0">
      <selection activeCell="D6" sqref="D6"/>
    </sheetView>
  </sheetViews>
  <sheetFormatPr defaultRowHeight="15" x14ac:dyDescent="0.2"/>
  <cols>
    <col min="1" max="1" width="54.85546875" style="22" customWidth="1"/>
    <col min="2" max="2" width="15.28515625" style="23" customWidth="1"/>
    <col min="3" max="3" width="8.28515625" style="23" customWidth="1"/>
    <col min="4" max="4" width="19.5703125" style="24" customWidth="1"/>
    <col min="5" max="5" width="21.140625" style="24" customWidth="1"/>
    <col min="6" max="6" width="19.28515625" style="24" customWidth="1"/>
    <col min="7" max="10" width="9.140625" style="14"/>
    <col min="11" max="16384" width="9.140625" style="1"/>
  </cols>
  <sheetData>
    <row r="1" spans="1:10" s="3" customFormat="1" ht="12.75" x14ac:dyDescent="0.2">
      <c r="A1" s="25"/>
      <c r="B1" s="26"/>
      <c r="C1" s="26"/>
      <c r="D1" s="27"/>
      <c r="E1" s="27"/>
      <c r="F1" s="36" t="s">
        <v>307</v>
      </c>
      <c r="G1" s="13"/>
      <c r="H1" s="13"/>
      <c r="I1" s="13"/>
      <c r="J1" s="13"/>
    </row>
    <row r="2" spans="1:10" s="3" customFormat="1" ht="12.75" x14ac:dyDescent="0.2">
      <c r="A2" s="25"/>
      <c r="B2" s="26"/>
      <c r="C2" s="26"/>
      <c r="D2" s="27"/>
      <c r="E2" s="27"/>
      <c r="F2" s="37" t="s">
        <v>293</v>
      </c>
      <c r="G2" s="13"/>
      <c r="H2" s="13"/>
      <c r="I2" s="13"/>
      <c r="J2" s="13"/>
    </row>
    <row r="3" spans="1:10" s="3" customFormat="1" ht="12.75" x14ac:dyDescent="0.2">
      <c r="A3" s="25"/>
      <c r="B3" s="26"/>
      <c r="C3" s="26"/>
      <c r="D3" s="27"/>
      <c r="E3" s="27"/>
      <c r="F3" s="37" t="s">
        <v>294</v>
      </c>
      <c r="G3" s="13"/>
      <c r="H3" s="13"/>
      <c r="I3" s="13"/>
      <c r="J3" s="13"/>
    </row>
    <row r="4" spans="1:10" s="3" customFormat="1" ht="12.75" x14ac:dyDescent="0.2">
      <c r="A4" s="25"/>
      <c r="B4" s="26"/>
      <c r="C4" s="26"/>
      <c r="D4" s="27"/>
      <c r="E4" s="27"/>
      <c r="F4" s="37" t="s">
        <v>474</v>
      </c>
      <c r="G4" s="13"/>
      <c r="H4" s="13"/>
      <c r="I4" s="13"/>
      <c r="J4" s="13"/>
    </row>
    <row r="5" spans="1:10" s="3" customFormat="1" ht="12.75" x14ac:dyDescent="0.2">
      <c r="A5" s="25"/>
      <c r="B5" s="26"/>
      <c r="C5" s="26"/>
      <c r="D5" s="27"/>
      <c r="E5" s="27"/>
      <c r="F5" s="27"/>
      <c r="G5" s="13"/>
      <c r="H5" s="13"/>
      <c r="I5" s="13"/>
      <c r="J5" s="13"/>
    </row>
    <row r="6" spans="1:10" s="3" customFormat="1" ht="12.75" x14ac:dyDescent="0.2">
      <c r="A6" s="25"/>
      <c r="B6" s="26"/>
      <c r="C6" s="26"/>
      <c r="D6" s="27"/>
      <c r="E6" s="27"/>
      <c r="F6" s="27"/>
      <c r="G6" s="13"/>
      <c r="H6" s="13"/>
      <c r="I6" s="13"/>
      <c r="J6" s="13"/>
    </row>
    <row r="7" spans="1:10" x14ac:dyDescent="0.2">
      <c r="A7" s="28"/>
      <c r="B7" s="28"/>
      <c r="C7" s="28"/>
      <c r="D7" s="28"/>
      <c r="E7" s="28"/>
      <c r="F7" s="28" t="s">
        <v>437</v>
      </c>
    </row>
    <row r="8" spans="1:10" x14ac:dyDescent="0.2">
      <c r="A8" s="29"/>
      <c r="B8" s="29"/>
      <c r="C8" s="30"/>
      <c r="D8" s="31"/>
      <c r="E8" s="31"/>
      <c r="F8" s="31" t="s">
        <v>293</v>
      </c>
    </row>
    <row r="9" spans="1:10" x14ac:dyDescent="0.2">
      <c r="A9" s="32"/>
      <c r="B9" s="32"/>
      <c r="C9" s="30"/>
      <c r="D9" s="31"/>
      <c r="E9" s="31"/>
      <c r="F9" s="31" t="s">
        <v>294</v>
      </c>
    </row>
    <row r="10" spans="1:10" x14ac:dyDescent="0.2">
      <c r="A10" s="32"/>
      <c r="B10" s="32"/>
      <c r="C10" s="30"/>
      <c r="D10" s="31"/>
      <c r="E10" s="31"/>
      <c r="F10" s="31" t="s">
        <v>438</v>
      </c>
    </row>
    <row r="11" spans="1:10" s="3" customFormat="1" ht="12.75" x14ac:dyDescent="0.2">
      <c r="A11" s="25"/>
      <c r="B11" s="26"/>
      <c r="C11" s="26"/>
      <c r="D11" s="27"/>
      <c r="E11" s="27"/>
      <c r="F11" s="27"/>
      <c r="G11" s="13"/>
      <c r="H11" s="13"/>
      <c r="I11" s="13"/>
      <c r="J11" s="13"/>
    </row>
    <row r="12" spans="1:10" s="3" customFormat="1" ht="12.75" x14ac:dyDescent="0.2">
      <c r="A12" s="170"/>
      <c r="B12" s="170"/>
      <c r="C12" s="170"/>
      <c r="D12" s="170"/>
      <c r="E12" s="27"/>
      <c r="F12" s="27"/>
      <c r="G12" s="13"/>
      <c r="H12" s="13"/>
      <c r="I12" s="13"/>
      <c r="J12" s="13"/>
    </row>
    <row r="13" spans="1:10" s="3" customFormat="1" ht="40.5" customHeight="1" x14ac:dyDescent="0.2">
      <c r="A13" s="171" t="s">
        <v>392</v>
      </c>
      <c r="B13" s="171"/>
      <c r="C13" s="171"/>
      <c r="D13" s="171"/>
      <c r="E13" s="171"/>
      <c r="F13" s="171"/>
      <c r="G13" s="13"/>
      <c r="H13" s="13"/>
      <c r="I13" s="13"/>
      <c r="J13" s="13"/>
    </row>
    <row r="14" spans="1:10" s="3" customFormat="1" ht="12.75" x14ac:dyDescent="0.2">
      <c r="A14" s="170"/>
      <c r="B14" s="170"/>
      <c r="C14" s="170"/>
      <c r="D14" s="170"/>
      <c r="E14" s="170"/>
      <c r="F14" s="170"/>
      <c r="G14" s="13"/>
      <c r="H14" s="13"/>
      <c r="I14" s="13"/>
      <c r="J14" s="13"/>
    </row>
    <row r="15" spans="1:10" s="3" customFormat="1" ht="12.75" x14ac:dyDescent="0.2">
      <c r="A15" s="170"/>
      <c r="B15" s="170"/>
      <c r="C15" s="170"/>
      <c r="D15" s="170"/>
      <c r="E15" s="27"/>
      <c r="F15" s="27"/>
      <c r="G15" s="13"/>
      <c r="H15" s="13"/>
      <c r="I15" s="13"/>
      <c r="J15" s="13"/>
    </row>
    <row r="16" spans="1:10" s="3" customFormat="1" ht="15" customHeight="1" x14ac:dyDescent="0.2">
      <c r="A16" s="172" t="s">
        <v>0</v>
      </c>
      <c r="B16" s="174" t="s">
        <v>389</v>
      </c>
      <c r="C16" s="174" t="s">
        <v>1</v>
      </c>
      <c r="D16" s="176" t="s">
        <v>295</v>
      </c>
      <c r="E16" s="176"/>
      <c r="F16" s="176"/>
      <c r="G16" s="13"/>
      <c r="H16" s="13"/>
      <c r="I16" s="13"/>
      <c r="J16" s="13"/>
    </row>
    <row r="17" spans="1:10" s="3" customFormat="1" ht="24" customHeight="1" x14ac:dyDescent="0.2">
      <c r="A17" s="173"/>
      <c r="B17" s="175"/>
      <c r="C17" s="175"/>
      <c r="D17" s="35" t="s">
        <v>296</v>
      </c>
      <c r="E17" s="35" t="s">
        <v>321</v>
      </c>
      <c r="F17" s="35" t="s">
        <v>391</v>
      </c>
      <c r="G17" s="13"/>
      <c r="H17" s="13"/>
      <c r="I17" s="13"/>
      <c r="J17" s="13"/>
    </row>
    <row r="18" spans="1:10" s="3" customFormat="1" ht="24.75" customHeight="1" x14ac:dyDescent="0.2">
      <c r="A18" s="53" t="s">
        <v>355</v>
      </c>
      <c r="B18" s="54"/>
      <c r="C18" s="54"/>
      <c r="D18" s="55">
        <f>D44+D242+D263+D286+D287+D305+D310+D316+D326+D383+D407+D432++D443++D213+D24+D19+D444+D421+D431+D388+D393+D449+D471+D476</f>
        <v>1804438821.4199998</v>
      </c>
      <c r="E18" s="55">
        <f>E44+E242+E263+E286+E287+E305+E310+E316+E326+E383+E407+E432++E443++E213+E24+E19+E444+E421+E431+E388+E393+E449+E471+E476</f>
        <v>1569590354.3199999</v>
      </c>
      <c r="F18" s="55">
        <f>F44+F242+F263+F286+F287+F305+F310+F316+F326+F383+F407+F432++F443++F213+F24+F19+F444+F421+F431+F388+F393+F449+F471+F476</f>
        <v>1522167267.0900002</v>
      </c>
      <c r="G18" s="13"/>
      <c r="H18" s="13"/>
      <c r="I18" s="13"/>
      <c r="J18" s="13"/>
    </row>
    <row r="19" spans="1:10" s="5" customFormat="1" ht="44.25" customHeight="1" x14ac:dyDescent="0.2">
      <c r="A19" s="56" t="s">
        <v>114</v>
      </c>
      <c r="B19" s="57" t="s">
        <v>112</v>
      </c>
      <c r="C19" s="58"/>
      <c r="D19" s="59">
        <f>D20</f>
        <v>362250</v>
      </c>
      <c r="E19" s="59">
        <f>E20</f>
        <v>362250</v>
      </c>
      <c r="F19" s="59">
        <f>F20</f>
        <v>362250</v>
      </c>
      <c r="G19" s="15"/>
      <c r="H19" s="15"/>
      <c r="I19" s="15"/>
      <c r="J19" s="15"/>
    </row>
    <row r="20" spans="1:10" s="2" customFormat="1" ht="25.5" x14ac:dyDescent="0.2">
      <c r="A20" s="60" t="s">
        <v>116</v>
      </c>
      <c r="B20" s="61" t="s">
        <v>115</v>
      </c>
      <c r="C20" s="62"/>
      <c r="D20" s="45">
        <f>D22</f>
        <v>362250</v>
      </c>
      <c r="E20" s="45">
        <f>E22</f>
        <v>362250</v>
      </c>
      <c r="F20" s="45">
        <f>F22</f>
        <v>362250</v>
      </c>
      <c r="G20" s="16"/>
      <c r="H20" s="16"/>
      <c r="I20" s="16"/>
      <c r="J20" s="16"/>
    </row>
    <row r="21" spans="1:10" s="2" customFormat="1" ht="25.5" x14ac:dyDescent="0.2">
      <c r="A21" s="63" t="s">
        <v>80</v>
      </c>
      <c r="B21" s="61" t="s">
        <v>115</v>
      </c>
      <c r="C21" s="64" t="s">
        <v>103</v>
      </c>
      <c r="D21" s="45">
        <f t="shared" ref="D21:F22" si="0">D22</f>
        <v>362250</v>
      </c>
      <c r="E21" s="45">
        <f t="shared" si="0"/>
        <v>362250</v>
      </c>
      <c r="F21" s="45">
        <f t="shared" si="0"/>
        <v>362250</v>
      </c>
      <c r="G21" s="16"/>
      <c r="H21" s="16"/>
      <c r="I21" s="16"/>
      <c r="J21" s="16"/>
    </row>
    <row r="22" spans="1:10" s="2" customFormat="1" ht="25.5" x14ac:dyDescent="0.2">
      <c r="A22" s="63" t="s">
        <v>62</v>
      </c>
      <c r="B22" s="61" t="s">
        <v>115</v>
      </c>
      <c r="C22" s="64" t="s">
        <v>104</v>
      </c>
      <c r="D22" s="45">
        <f t="shared" si="0"/>
        <v>362250</v>
      </c>
      <c r="E22" s="45">
        <f t="shared" si="0"/>
        <v>362250</v>
      </c>
      <c r="F22" s="45">
        <f t="shared" si="0"/>
        <v>362250</v>
      </c>
      <c r="G22" s="16"/>
      <c r="H22" s="16"/>
      <c r="I22" s="16"/>
      <c r="J22" s="16"/>
    </row>
    <row r="23" spans="1:10" s="2" customFormat="1" ht="12.75" x14ac:dyDescent="0.2">
      <c r="A23" s="63" t="s">
        <v>21</v>
      </c>
      <c r="B23" s="61" t="s">
        <v>115</v>
      </c>
      <c r="C23" s="64" t="s">
        <v>65</v>
      </c>
      <c r="D23" s="65">
        <v>362250</v>
      </c>
      <c r="E23" s="66">
        <v>362250</v>
      </c>
      <c r="F23" s="66">
        <v>362250</v>
      </c>
      <c r="G23" s="16"/>
      <c r="H23" s="16"/>
      <c r="I23" s="16"/>
      <c r="J23" s="16"/>
    </row>
    <row r="24" spans="1:10" s="5" customFormat="1" ht="65.25" customHeight="1" x14ac:dyDescent="0.2">
      <c r="A24" s="56" t="s">
        <v>279</v>
      </c>
      <c r="B24" s="57" t="s">
        <v>107</v>
      </c>
      <c r="C24" s="58"/>
      <c r="D24" s="59">
        <f>D29+D25+D33+D37+D41</f>
        <v>65462800.509999998</v>
      </c>
      <c r="E24" s="59">
        <f t="shared" ref="E24:F24" si="1">E29+E25+E33+E37+E41</f>
        <v>57479630</v>
      </c>
      <c r="F24" s="59">
        <f t="shared" si="1"/>
        <v>58932010</v>
      </c>
      <c r="G24" s="15"/>
      <c r="H24" s="15"/>
      <c r="I24" s="15"/>
      <c r="J24" s="15"/>
    </row>
    <row r="25" spans="1:10" s="5" customFormat="1" ht="33" customHeight="1" x14ac:dyDescent="0.2">
      <c r="A25" s="63" t="s">
        <v>393</v>
      </c>
      <c r="B25" s="61" t="s">
        <v>113</v>
      </c>
      <c r="C25" s="67"/>
      <c r="D25" s="45">
        <f>D27</f>
        <v>0</v>
      </c>
      <c r="E25" s="45">
        <f>E27</f>
        <v>0</v>
      </c>
      <c r="F25" s="45">
        <f>F27</f>
        <v>0</v>
      </c>
      <c r="G25" s="15"/>
      <c r="H25" s="15"/>
      <c r="I25" s="15"/>
      <c r="J25" s="15"/>
    </row>
    <row r="26" spans="1:10" s="5" customFormat="1" ht="25.5" x14ac:dyDescent="0.2">
      <c r="A26" s="63" t="s">
        <v>80</v>
      </c>
      <c r="B26" s="61" t="s">
        <v>113</v>
      </c>
      <c r="C26" s="67" t="s">
        <v>103</v>
      </c>
      <c r="D26" s="45">
        <f t="shared" ref="D26:F27" si="2">D27</f>
        <v>0</v>
      </c>
      <c r="E26" s="45">
        <f t="shared" si="2"/>
        <v>0</v>
      </c>
      <c r="F26" s="45">
        <f t="shared" si="2"/>
        <v>0</v>
      </c>
      <c r="G26" s="15"/>
      <c r="H26" s="15"/>
      <c r="I26" s="15"/>
      <c r="J26" s="15"/>
    </row>
    <row r="27" spans="1:10" s="5" customFormat="1" ht="25.5" x14ac:dyDescent="0.2">
      <c r="A27" s="63" t="s">
        <v>62</v>
      </c>
      <c r="B27" s="61" t="s">
        <v>113</v>
      </c>
      <c r="C27" s="67" t="s">
        <v>104</v>
      </c>
      <c r="D27" s="45">
        <f t="shared" si="2"/>
        <v>0</v>
      </c>
      <c r="E27" s="45">
        <f t="shared" si="2"/>
        <v>0</v>
      </c>
      <c r="F27" s="45">
        <f t="shared" si="2"/>
        <v>0</v>
      </c>
      <c r="G27" s="15"/>
      <c r="H27" s="15"/>
      <c r="I27" s="15"/>
      <c r="J27" s="15"/>
    </row>
    <row r="28" spans="1:10" s="5" customFormat="1" ht="12.75" x14ac:dyDescent="0.2">
      <c r="A28" s="63" t="s">
        <v>21</v>
      </c>
      <c r="B28" s="61" t="s">
        <v>113</v>
      </c>
      <c r="C28" s="67" t="s">
        <v>65</v>
      </c>
      <c r="D28" s="66">
        <v>0</v>
      </c>
      <c r="E28" s="66">
        <v>0</v>
      </c>
      <c r="F28" s="66">
        <v>0</v>
      </c>
      <c r="G28" s="15"/>
      <c r="H28" s="15"/>
      <c r="I28" s="15"/>
      <c r="J28" s="15"/>
    </row>
    <row r="29" spans="1:10" s="2" customFormat="1" ht="25.5" x14ac:dyDescent="0.2">
      <c r="A29" s="63" t="s">
        <v>395</v>
      </c>
      <c r="B29" s="61" t="s">
        <v>394</v>
      </c>
      <c r="C29" s="67"/>
      <c r="D29" s="45">
        <f>D31</f>
        <v>0</v>
      </c>
      <c r="E29" s="45">
        <f>E31</f>
        <v>0</v>
      </c>
      <c r="F29" s="45">
        <f>F31</f>
        <v>0</v>
      </c>
      <c r="G29" s="16"/>
      <c r="H29" s="16"/>
      <c r="I29" s="16"/>
      <c r="J29" s="16"/>
    </row>
    <row r="30" spans="1:10" s="2" customFormat="1" ht="25.5" x14ac:dyDescent="0.2">
      <c r="A30" s="63" t="s">
        <v>80</v>
      </c>
      <c r="B30" s="61" t="s">
        <v>394</v>
      </c>
      <c r="C30" s="67" t="s">
        <v>103</v>
      </c>
      <c r="D30" s="45">
        <f t="shared" ref="D30:F31" si="3">D31</f>
        <v>0</v>
      </c>
      <c r="E30" s="45">
        <f t="shared" si="3"/>
        <v>0</v>
      </c>
      <c r="F30" s="45">
        <f t="shared" si="3"/>
        <v>0</v>
      </c>
      <c r="G30" s="16"/>
      <c r="H30" s="16"/>
      <c r="I30" s="16"/>
      <c r="J30" s="16"/>
    </row>
    <row r="31" spans="1:10" s="2" customFormat="1" ht="25.5" x14ac:dyDescent="0.2">
      <c r="A31" s="63" t="s">
        <v>62</v>
      </c>
      <c r="B31" s="61" t="s">
        <v>394</v>
      </c>
      <c r="C31" s="67" t="s">
        <v>104</v>
      </c>
      <c r="D31" s="45">
        <f t="shared" si="3"/>
        <v>0</v>
      </c>
      <c r="E31" s="45">
        <f t="shared" si="3"/>
        <v>0</v>
      </c>
      <c r="F31" s="45">
        <f t="shared" si="3"/>
        <v>0</v>
      </c>
      <c r="G31" s="16"/>
      <c r="H31" s="16"/>
      <c r="I31" s="16"/>
      <c r="J31" s="16"/>
    </row>
    <row r="32" spans="1:10" s="2" customFormat="1" ht="12.75" x14ac:dyDescent="0.2">
      <c r="A32" s="63" t="s">
        <v>21</v>
      </c>
      <c r="B32" s="61" t="s">
        <v>394</v>
      </c>
      <c r="C32" s="67" t="s">
        <v>65</v>
      </c>
      <c r="D32" s="66">
        <v>0</v>
      </c>
      <c r="E32" s="66">
        <v>0</v>
      </c>
      <c r="F32" s="66">
        <v>0</v>
      </c>
      <c r="G32" s="16"/>
      <c r="H32" s="16"/>
      <c r="I32" s="16"/>
      <c r="J32" s="16"/>
    </row>
    <row r="33" spans="1:10" s="2" customFormat="1" ht="30.75" customHeight="1" x14ac:dyDescent="0.2">
      <c r="A33" s="60" t="s">
        <v>423</v>
      </c>
      <c r="B33" s="61" t="s">
        <v>421</v>
      </c>
      <c r="C33" s="67"/>
      <c r="D33" s="66">
        <f t="shared" ref="D33:D34" si="4">D34</f>
        <v>46420470</v>
      </c>
      <c r="E33" s="66">
        <f t="shared" ref="E33:E34" si="5">E34</f>
        <v>47729630</v>
      </c>
      <c r="F33" s="66">
        <f t="shared" ref="F33:F34" si="6">F34</f>
        <v>47932010</v>
      </c>
      <c r="G33" s="16"/>
      <c r="H33" s="16"/>
      <c r="I33" s="16"/>
      <c r="J33" s="16"/>
    </row>
    <row r="34" spans="1:10" s="2" customFormat="1" ht="25.5" x14ac:dyDescent="0.2">
      <c r="A34" s="60" t="s">
        <v>80</v>
      </c>
      <c r="B34" s="61" t="s">
        <v>421</v>
      </c>
      <c r="C34" s="67" t="s">
        <v>103</v>
      </c>
      <c r="D34" s="66">
        <f t="shared" si="4"/>
        <v>46420470</v>
      </c>
      <c r="E34" s="66">
        <f t="shared" si="5"/>
        <v>47729630</v>
      </c>
      <c r="F34" s="66">
        <f t="shared" si="6"/>
        <v>47932010</v>
      </c>
      <c r="G34" s="16"/>
      <c r="H34" s="16"/>
      <c r="I34" s="16"/>
      <c r="J34" s="16"/>
    </row>
    <row r="35" spans="1:10" s="2" customFormat="1" ht="26.25" customHeight="1" x14ac:dyDescent="0.2">
      <c r="A35" s="60" t="s">
        <v>62</v>
      </c>
      <c r="B35" s="61" t="s">
        <v>421</v>
      </c>
      <c r="C35" s="67" t="s">
        <v>104</v>
      </c>
      <c r="D35" s="66">
        <f>D36</f>
        <v>46420470</v>
      </c>
      <c r="E35" s="66">
        <f t="shared" ref="E35:F35" si="7">E36</f>
        <v>47729630</v>
      </c>
      <c r="F35" s="66">
        <f t="shared" si="7"/>
        <v>47932010</v>
      </c>
      <c r="G35" s="16"/>
      <c r="H35" s="16"/>
      <c r="I35" s="16"/>
      <c r="J35" s="16"/>
    </row>
    <row r="36" spans="1:10" s="2" customFormat="1" ht="12.75" x14ac:dyDescent="0.2">
      <c r="A36" s="60" t="s">
        <v>21</v>
      </c>
      <c r="B36" s="61" t="s">
        <v>421</v>
      </c>
      <c r="C36" s="67" t="s">
        <v>65</v>
      </c>
      <c r="D36" s="66">
        <v>46420470</v>
      </c>
      <c r="E36" s="66">
        <v>47729630</v>
      </c>
      <c r="F36" s="66">
        <v>47932010</v>
      </c>
      <c r="G36" s="16"/>
      <c r="H36" s="16"/>
      <c r="I36" s="16"/>
      <c r="J36" s="16"/>
    </row>
    <row r="37" spans="1:10" s="2" customFormat="1" ht="25.5" x14ac:dyDescent="0.2">
      <c r="A37" s="60" t="s">
        <v>422</v>
      </c>
      <c r="B37" s="61" t="s">
        <v>420</v>
      </c>
      <c r="C37" s="67"/>
      <c r="D37" s="66">
        <f t="shared" ref="D37:D38" si="8">D38</f>
        <v>9750000</v>
      </c>
      <c r="E37" s="66">
        <f t="shared" ref="E37:E38" si="9">E38</f>
        <v>9750000</v>
      </c>
      <c r="F37" s="66">
        <f t="shared" ref="F37:F38" si="10">F38</f>
        <v>11000000</v>
      </c>
      <c r="G37" s="16"/>
      <c r="H37" s="16"/>
      <c r="I37" s="16"/>
      <c r="J37" s="16"/>
    </row>
    <row r="38" spans="1:10" s="2" customFormat="1" ht="25.5" x14ac:dyDescent="0.2">
      <c r="A38" s="60" t="s">
        <v>80</v>
      </c>
      <c r="B38" s="61" t="s">
        <v>420</v>
      </c>
      <c r="C38" s="67" t="s">
        <v>103</v>
      </c>
      <c r="D38" s="66">
        <f t="shared" si="8"/>
        <v>9750000</v>
      </c>
      <c r="E38" s="66">
        <f t="shared" si="9"/>
        <v>9750000</v>
      </c>
      <c r="F38" s="66">
        <f t="shared" si="10"/>
        <v>11000000</v>
      </c>
      <c r="G38" s="16"/>
      <c r="H38" s="16"/>
      <c r="I38" s="16"/>
      <c r="J38" s="16"/>
    </row>
    <row r="39" spans="1:10" s="2" customFormat="1" ht="27.75" customHeight="1" x14ac:dyDescent="0.2">
      <c r="A39" s="60" t="s">
        <v>62</v>
      </c>
      <c r="B39" s="61" t="s">
        <v>420</v>
      </c>
      <c r="C39" s="67" t="s">
        <v>104</v>
      </c>
      <c r="D39" s="66">
        <f>D40</f>
        <v>9750000</v>
      </c>
      <c r="E39" s="66">
        <f t="shared" ref="E39:F39" si="11">E40</f>
        <v>9750000</v>
      </c>
      <c r="F39" s="66">
        <f t="shared" si="11"/>
        <v>11000000</v>
      </c>
      <c r="G39" s="16"/>
      <c r="H39" s="16"/>
      <c r="I39" s="16"/>
      <c r="J39" s="16"/>
    </row>
    <row r="40" spans="1:10" s="2" customFormat="1" ht="12.75" x14ac:dyDescent="0.2">
      <c r="A40" s="60" t="s">
        <v>21</v>
      </c>
      <c r="B40" s="61" t="s">
        <v>420</v>
      </c>
      <c r="C40" s="67" t="s">
        <v>65</v>
      </c>
      <c r="D40" s="66">
        <v>9750000</v>
      </c>
      <c r="E40" s="66">
        <v>9750000</v>
      </c>
      <c r="F40" s="66">
        <v>11000000</v>
      </c>
      <c r="G40" s="16"/>
      <c r="H40" s="16"/>
      <c r="I40" s="16"/>
      <c r="J40" s="16"/>
    </row>
    <row r="41" spans="1:10" s="2" customFormat="1" ht="17.25" customHeight="1" x14ac:dyDescent="0.2">
      <c r="A41" s="60" t="s">
        <v>424</v>
      </c>
      <c r="B41" s="61" t="s">
        <v>419</v>
      </c>
      <c r="C41" s="67"/>
      <c r="D41" s="66">
        <f>D42</f>
        <v>9292330.5099999998</v>
      </c>
      <c r="E41" s="66">
        <f t="shared" ref="E41" si="12">E42</f>
        <v>0</v>
      </c>
      <c r="F41" s="66">
        <f t="shared" ref="F41" si="13">F42</f>
        <v>0</v>
      </c>
      <c r="G41" s="16"/>
      <c r="H41" s="16"/>
      <c r="I41" s="16"/>
      <c r="J41" s="16"/>
    </row>
    <row r="42" spans="1:10" s="2" customFormat="1" ht="12.75" x14ac:dyDescent="0.2">
      <c r="A42" s="60" t="s">
        <v>83</v>
      </c>
      <c r="B42" s="61" t="s">
        <v>419</v>
      </c>
      <c r="C42" s="67" t="s">
        <v>191</v>
      </c>
      <c r="D42" s="66">
        <f>D43</f>
        <v>9292330.5099999998</v>
      </c>
      <c r="E42" s="66">
        <f t="shared" ref="E42:F42" si="14">E43</f>
        <v>0</v>
      </c>
      <c r="F42" s="66">
        <f t="shared" si="14"/>
        <v>0</v>
      </c>
      <c r="G42" s="16"/>
      <c r="H42" s="16"/>
      <c r="I42" s="16"/>
      <c r="J42" s="16"/>
    </row>
    <row r="43" spans="1:10" s="2" customFormat="1" ht="12.75" x14ac:dyDescent="0.2">
      <c r="A43" s="60" t="s">
        <v>172</v>
      </c>
      <c r="B43" s="61" t="s">
        <v>419</v>
      </c>
      <c r="C43" s="67" t="s">
        <v>173</v>
      </c>
      <c r="D43" s="66">
        <v>9292330.5099999998</v>
      </c>
      <c r="E43" s="66"/>
      <c r="F43" s="66"/>
      <c r="G43" s="16"/>
      <c r="H43" s="16"/>
      <c r="I43" s="16"/>
      <c r="J43" s="16"/>
    </row>
    <row r="44" spans="1:10" s="5" customFormat="1" ht="47.25" customHeight="1" x14ac:dyDescent="0.2">
      <c r="A44" s="56" t="s">
        <v>224</v>
      </c>
      <c r="B44" s="57" t="s">
        <v>8</v>
      </c>
      <c r="C44" s="58"/>
      <c r="D44" s="59">
        <f>D45+D71+D142+D172+D191</f>
        <v>1474518514.9000001</v>
      </c>
      <c r="E44" s="59">
        <f>E45+E71+E142+E172+E191</f>
        <v>1254881348.96</v>
      </c>
      <c r="F44" s="59">
        <f>F45+F71+F142+F172+F191</f>
        <v>1258577074.1100001</v>
      </c>
      <c r="G44" s="15"/>
      <c r="H44" s="15"/>
      <c r="I44" s="15"/>
      <c r="J44" s="15"/>
    </row>
    <row r="45" spans="1:10" s="4" customFormat="1" ht="32.25" customHeight="1" x14ac:dyDescent="0.2">
      <c r="A45" s="68" t="s">
        <v>52</v>
      </c>
      <c r="B45" s="69" t="s">
        <v>22</v>
      </c>
      <c r="C45" s="70"/>
      <c r="D45" s="55">
        <f>D46+D50+D62+D67+D54+D58</f>
        <v>333997651.06</v>
      </c>
      <c r="E45" s="55">
        <f t="shared" ref="E45:F45" si="15">E46+E50+E62+E67+E54+E58</f>
        <v>304557599.42000002</v>
      </c>
      <c r="F45" s="55">
        <f t="shared" si="15"/>
        <v>296482499.08999997</v>
      </c>
      <c r="G45" s="17"/>
      <c r="H45" s="17"/>
      <c r="I45" s="17"/>
      <c r="J45" s="17"/>
    </row>
    <row r="46" spans="1:10" s="3" customFormat="1" ht="76.5" x14ac:dyDescent="0.2">
      <c r="A46" s="71" t="s">
        <v>356</v>
      </c>
      <c r="B46" s="40" t="s">
        <v>322</v>
      </c>
      <c r="C46" s="72"/>
      <c r="D46" s="45">
        <f>D48</f>
        <v>12807450.000000002</v>
      </c>
      <c r="E46" s="45">
        <f>E48</f>
        <v>18359920.030000001</v>
      </c>
      <c r="F46" s="45">
        <f>F48</f>
        <v>19094316.829999998</v>
      </c>
      <c r="G46" s="13"/>
      <c r="H46" s="13"/>
      <c r="I46" s="13"/>
      <c r="J46" s="13"/>
    </row>
    <row r="47" spans="1:10" s="3" customFormat="1" ht="30" customHeight="1" x14ac:dyDescent="0.2">
      <c r="A47" s="73" t="s">
        <v>81</v>
      </c>
      <c r="B47" s="40" t="s">
        <v>322</v>
      </c>
      <c r="C47" s="72">
        <v>600</v>
      </c>
      <c r="D47" s="45">
        <f t="shared" ref="D47:F48" si="16">D48</f>
        <v>12807450.000000002</v>
      </c>
      <c r="E47" s="45">
        <f t="shared" si="16"/>
        <v>18359920.030000001</v>
      </c>
      <c r="F47" s="45">
        <f t="shared" si="16"/>
        <v>19094316.829999998</v>
      </c>
      <c r="G47" s="13"/>
      <c r="H47" s="13"/>
      <c r="I47" s="13"/>
      <c r="J47" s="13"/>
    </row>
    <row r="48" spans="1:10" s="3" customFormat="1" ht="12.75" x14ac:dyDescent="0.2">
      <c r="A48" s="73" t="s">
        <v>49</v>
      </c>
      <c r="B48" s="40" t="s">
        <v>322</v>
      </c>
      <c r="C48" s="72">
        <v>610</v>
      </c>
      <c r="D48" s="45">
        <f t="shared" si="16"/>
        <v>12807450.000000002</v>
      </c>
      <c r="E48" s="45">
        <f t="shared" si="16"/>
        <v>18359920.030000001</v>
      </c>
      <c r="F48" s="45">
        <f t="shared" si="16"/>
        <v>19094316.829999998</v>
      </c>
      <c r="G48" s="13"/>
      <c r="H48" s="13"/>
      <c r="I48" s="13"/>
      <c r="J48" s="13"/>
    </row>
    <row r="49" spans="1:10" s="3" customFormat="1" ht="12.75" x14ac:dyDescent="0.2">
      <c r="A49" s="74" t="s">
        <v>2</v>
      </c>
      <c r="B49" s="40" t="s">
        <v>322</v>
      </c>
      <c r="C49" s="72">
        <v>612</v>
      </c>
      <c r="D49" s="45">
        <f>18582915.01-5775465.01</f>
        <v>12807450.000000002</v>
      </c>
      <c r="E49" s="45">
        <v>18359920.030000001</v>
      </c>
      <c r="F49" s="45">
        <v>19094316.829999998</v>
      </c>
      <c r="G49" s="13"/>
      <c r="H49" s="13"/>
      <c r="I49" s="13"/>
      <c r="J49" s="13"/>
    </row>
    <row r="50" spans="1:10" s="3" customFormat="1" ht="26.25" customHeight="1" x14ac:dyDescent="0.2">
      <c r="A50" s="52" t="s">
        <v>50</v>
      </c>
      <c r="B50" s="40" t="s">
        <v>323</v>
      </c>
      <c r="C50" s="72"/>
      <c r="D50" s="45">
        <f>D52</f>
        <v>196479280</v>
      </c>
      <c r="E50" s="45">
        <f>E52</f>
        <v>191772671.19999999</v>
      </c>
      <c r="F50" s="45">
        <f>F52</f>
        <v>176407593.40000001</v>
      </c>
      <c r="G50" s="13"/>
      <c r="H50" s="13"/>
      <c r="I50" s="13"/>
      <c r="J50" s="13"/>
    </row>
    <row r="51" spans="1:10" s="3" customFormat="1" ht="25.5" x14ac:dyDescent="0.2">
      <c r="A51" s="73" t="s">
        <v>81</v>
      </c>
      <c r="B51" s="40" t="s">
        <v>323</v>
      </c>
      <c r="C51" s="72">
        <v>600</v>
      </c>
      <c r="D51" s="45">
        <f t="shared" ref="D51:F52" si="17">D52</f>
        <v>196479280</v>
      </c>
      <c r="E51" s="45">
        <f t="shared" si="17"/>
        <v>191772671.19999999</v>
      </c>
      <c r="F51" s="45">
        <f t="shared" si="17"/>
        <v>176407593.40000001</v>
      </c>
      <c r="G51" s="13"/>
      <c r="H51" s="13"/>
      <c r="I51" s="13"/>
      <c r="J51" s="13"/>
    </row>
    <row r="52" spans="1:10" s="3" customFormat="1" ht="12.75" x14ac:dyDescent="0.2">
      <c r="A52" s="73" t="s">
        <v>49</v>
      </c>
      <c r="B52" s="40" t="s">
        <v>323</v>
      </c>
      <c r="C52" s="72">
        <v>610</v>
      </c>
      <c r="D52" s="45">
        <f t="shared" si="17"/>
        <v>196479280</v>
      </c>
      <c r="E52" s="45">
        <f t="shared" si="17"/>
        <v>191772671.19999999</v>
      </c>
      <c r="F52" s="45">
        <f t="shared" si="17"/>
        <v>176407593.40000001</v>
      </c>
      <c r="G52" s="13"/>
      <c r="H52" s="13"/>
      <c r="I52" s="13"/>
      <c r="J52" s="13"/>
    </row>
    <row r="53" spans="1:10" s="3" customFormat="1" ht="51" x14ac:dyDescent="0.2">
      <c r="A53" s="73" t="s">
        <v>4</v>
      </c>
      <c r="B53" s="40" t="s">
        <v>323</v>
      </c>
      <c r="C53" s="72">
        <v>611</v>
      </c>
      <c r="D53" s="45">
        <f>196423183+56097</f>
        <v>196479280</v>
      </c>
      <c r="E53" s="45">
        <v>191772671.19999999</v>
      </c>
      <c r="F53" s="45">
        <v>176407593.40000001</v>
      </c>
      <c r="G53" s="13"/>
      <c r="H53" s="13"/>
      <c r="I53" s="13"/>
      <c r="J53" s="13"/>
    </row>
    <row r="54" spans="1:10" s="3" customFormat="1" ht="49.5" customHeight="1" x14ac:dyDescent="0.2">
      <c r="A54" s="52" t="s">
        <v>358</v>
      </c>
      <c r="B54" s="40" t="s">
        <v>325</v>
      </c>
      <c r="C54" s="72"/>
      <c r="D54" s="45">
        <f>D56</f>
        <v>12193205.439999999</v>
      </c>
      <c r="E54" s="45">
        <f>E56</f>
        <v>16172487.48</v>
      </c>
      <c r="F54" s="45">
        <f>F56</f>
        <v>15739600.949999999</v>
      </c>
      <c r="G54" s="13"/>
      <c r="H54" s="13"/>
      <c r="I54" s="13"/>
      <c r="J54" s="13"/>
    </row>
    <row r="55" spans="1:10" s="3" customFormat="1" ht="25.5" x14ac:dyDescent="0.2">
      <c r="A55" s="73" t="s">
        <v>81</v>
      </c>
      <c r="B55" s="40" t="s">
        <v>325</v>
      </c>
      <c r="C55" s="62">
        <v>600</v>
      </c>
      <c r="D55" s="45">
        <f t="shared" ref="D55:F56" si="18">D56</f>
        <v>12193205.439999999</v>
      </c>
      <c r="E55" s="45">
        <f t="shared" si="18"/>
        <v>16172487.48</v>
      </c>
      <c r="F55" s="45">
        <f t="shared" si="18"/>
        <v>15739600.949999999</v>
      </c>
      <c r="G55" s="13"/>
      <c r="H55" s="13"/>
      <c r="I55" s="13"/>
      <c r="J55" s="13"/>
    </row>
    <row r="56" spans="1:10" s="3" customFormat="1" ht="12.75" x14ac:dyDescent="0.2">
      <c r="A56" s="52" t="s">
        <v>49</v>
      </c>
      <c r="B56" s="40" t="s">
        <v>325</v>
      </c>
      <c r="C56" s="62">
        <v>610</v>
      </c>
      <c r="D56" s="45">
        <f t="shared" si="18"/>
        <v>12193205.439999999</v>
      </c>
      <c r="E56" s="45">
        <f t="shared" si="18"/>
        <v>16172487.48</v>
      </c>
      <c r="F56" s="45">
        <f t="shared" si="18"/>
        <v>15739600.949999999</v>
      </c>
      <c r="G56" s="13"/>
      <c r="H56" s="13"/>
      <c r="I56" s="13"/>
      <c r="J56" s="13"/>
    </row>
    <row r="57" spans="1:10" s="3" customFormat="1" ht="12.75" x14ac:dyDescent="0.2">
      <c r="A57" s="52" t="s">
        <v>64</v>
      </c>
      <c r="B57" s="40" t="s">
        <v>325</v>
      </c>
      <c r="C57" s="62">
        <v>612</v>
      </c>
      <c r="D57" s="45">
        <f>12541711.42-348505.98</f>
        <v>12193205.439999999</v>
      </c>
      <c r="E57" s="45">
        <v>16172487.48</v>
      </c>
      <c r="F57" s="45">
        <v>15739600.949999999</v>
      </c>
      <c r="G57" s="13"/>
      <c r="H57" s="13"/>
      <c r="I57" s="13"/>
      <c r="J57" s="13"/>
    </row>
    <row r="58" spans="1:10" s="3" customFormat="1" ht="178.5" x14ac:dyDescent="0.2">
      <c r="A58" s="52" t="s">
        <v>450</v>
      </c>
      <c r="B58" s="40" t="s">
        <v>449</v>
      </c>
      <c r="C58" s="62"/>
      <c r="D58" s="45">
        <f t="shared" ref="D58:D59" si="19">D59</f>
        <v>1281000</v>
      </c>
      <c r="E58" s="45">
        <f t="shared" ref="E58:E59" si="20">E59</f>
        <v>0</v>
      </c>
      <c r="F58" s="45">
        <f t="shared" ref="F58:F59" si="21">F59</f>
        <v>0</v>
      </c>
      <c r="G58" s="13"/>
      <c r="H58" s="13"/>
      <c r="I58" s="13"/>
      <c r="J58" s="13"/>
    </row>
    <row r="59" spans="1:10" s="3" customFormat="1" ht="25.5" x14ac:dyDescent="0.2">
      <c r="A59" s="52" t="s">
        <v>81</v>
      </c>
      <c r="B59" s="40" t="s">
        <v>449</v>
      </c>
      <c r="C59" s="62">
        <v>600</v>
      </c>
      <c r="D59" s="45">
        <f t="shared" si="19"/>
        <v>1281000</v>
      </c>
      <c r="E59" s="45">
        <f t="shared" si="20"/>
        <v>0</v>
      </c>
      <c r="F59" s="45">
        <f t="shared" si="21"/>
        <v>0</v>
      </c>
      <c r="G59" s="13"/>
      <c r="H59" s="13"/>
      <c r="I59" s="13"/>
      <c r="J59" s="13"/>
    </row>
    <row r="60" spans="1:10" s="3" customFormat="1" ht="12.75" x14ac:dyDescent="0.2">
      <c r="A60" s="52" t="s">
        <v>49</v>
      </c>
      <c r="B60" s="40" t="s">
        <v>449</v>
      </c>
      <c r="C60" s="62">
        <v>610</v>
      </c>
      <c r="D60" s="45">
        <f>D61</f>
        <v>1281000</v>
      </c>
      <c r="E60" s="45">
        <f t="shared" ref="E60:F60" si="22">E61</f>
        <v>0</v>
      </c>
      <c r="F60" s="45">
        <f t="shared" si="22"/>
        <v>0</v>
      </c>
      <c r="G60" s="13"/>
      <c r="H60" s="13"/>
      <c r="I60" s="13"/>
      <c r="J60" s="13"/>
    </row>
    <row r="61" spans="1:10" s="3" customFormat="1" ht="12.75" x14ac:dyDescent="0.2">
      <c r="A61" s="52" t="s">
        <v>64</v>
      </c>
      <c r="B61" s="40" t="s">
        <v>449</v>
      </c>
      <c r="C61" s="62">
        <v>612</v>
      </c>
      <c r="D61" s="45">
        <v>1281000</v>
      </c>
      <c r="E61" s="45"/>
      <c r="F61" s="45"/>
      <c r="G61" s="13"/>
      <c r="H61" s="13"/>
      <c r="I61" s="13"/>
      <c r="J61" s="13"/>
    </row>
    <row r="62" spans="1:10" s="3" customFormat="1" ht="25.5" x14ac:dyDescent="0.2">
      <c r="A62" s="73" t="s">
        <v>51</v>
      </c>
      <c r="B62" s="39" t="s">
        <v>23</v>
      </c>
      <c r="C62" s="72"/>
      <c r="D62" s="45">
        <f>D64</f>
        <v>110004908.11999999</v>
      </c>
      <c r="E62" s="45">
        <f>E64</f>
        <v>77020713.209999993</v>
      </c>
      <c r="F62" s="45">
        <f>F64</f>
        <v>84009180.409999996</v>
      </c>
      <c r="G62" s="13"/>
      <c r="H62" s="13"/>
      <c r="I62" s="13"/>
      <c r="J62" s="13"/>
    </row>
    <row r="63" spans="1:10" s="3" customFormat="1" ht="25.5" x14ac:dyDescent="0.2">
      <c r="A63" s="73" t="s">
        <v>81</v>
      </c>
      <c r="B63" s="39" t="s">
        <v>23</v>
      </c>
      <c r="C63" s="72">
        <v>600</v>
      </c>
      <c r="D63" s="45">
        <f>D64</f>
        <v>110004908.11999999</v>
      </c>
      <c r="E63" s="45">
        <f>E64</f>
        <v>77020713.209999993</v>
      </c>
      <c r="F63" s="45">
        <f>F64</f>
        <v>84009180.409999996</v>
      </c>
      <c r="G63" s="13"/>
      <c r="H63" s="13"/>
      <c r="I63" s="13"/>
      <c r="J63" s="13"/>
    </row>
    <row r="64" spans="1:10" s="3" customFormat="1" ht="12.75" x14ac:dyDescent="0.2">
      <c r="A64" s="73" t="s">
        <v>49</v>
      </c>
      <c r="B64" s="39" t="s">
        <v>23</v>
      </c>
      <c r="C64" s="72">
        <v>610</v>
      </c>
      <c r="D64" s="45">
        <f>D65+D66</f>
        <v>110004908.11999999</v>
      </c>
      <c r="E64" s="45">
        <f>E65+E66</f>
        <v>77020713.209999993</v>
      </c>
      <c r="F64" s="45">
        <f>F65+F66</f>
        <v>84009180.409999996</v>
      </c>
      <c r="G64" s="13"/>
      <c r="H64" s="13"/>
      <c r="I64" s="13"/>
      <c r="J64" s="13"/>
    </row>
    <row r="65" spans="1:10" s="3" customFormat="1" ht="51" x14ac:dyDescent="0.2">
      <c r="A65" s="73" t="s">
        <v>4</v>
      </c>
      <c r="B65" s="39" t="s">
        <v>23</v>
      </c>
      <c r="C65" s="72">
        <v>611</v>
      </c>
      <c r="D65" s="45">
        <v>104491775.02</v>
      </c>
      <c r="E65" s="45">
        <v>71507580.109999999</v>
      </c>
      <c r="F65" s="45">
        <v>78496047.310000002</v>
      </c>
      <c r="G65" s="13"/>
      <c r="H65" s="13"/>
      <c r="I65" s="13"/>
      <c r="J65" s="13"/>
    </row>
    <row r="66" spans="1:10" s="3" customFormat="1" ht="12.75" x14ac:dyDescent="0.2">
      <c r="A66" s="74" t="s">
        <v>2</v>
      </c>
      <c r="B66" s="39" t="s">
        <v>23</v>
      </c>
      <c r="C66" s="72">
        <v>612</v>
      </c>
      <c r="D66" s="45">
        <v>5513133.0999999996</v>
      </c>
      <c r="E66" s="45">
        <v>5513133.0999999996</v>
      </c>
      <c r="F66" s="45">
        <v>5513133.0999999996</v>
      </c>
      <c r="G66" s="13"/>
      <c r="H66" s="13"/>
      <c r="I66" s="13"/>
      <c r="J66" s="13"/>
    </row>
    <row r="67" spans="1:10" s="3" customFormat="1" ht="12.75" x14ac:dyDescent="0.2">
      <c r="A67" s="75" t="s">
        <v>53</v>
      </c>
      <c r="B67" s="39" t="s">
        <v>111</v>
      </c>
      <c r="C67" s="40"/>
      <c r="D67" s="45">
        <f>D69</f>
        <v>1231807.5</v>
      </c>
      <c r="E67" s="45">
        <f>E69</f>
        <v>1231807.5</v>
      </c>
      <c r="F67" s="45">
        <f>F69</f>
        <v>1231807.5</v>
      </c>
      <c r="G67" s="13"/>
      <c r="H67" s="13"/>
      <c r="I67" s="13"/>
      <c r="J67" s="13"/>
    </row>
    <row r="68" spans="1:10" s="3" customFormat="1" ht="25.5" x14ac:dyDescent="0.2">
      <c r="A68" s="73" t="s">
        <v>81</v>
      </c>
      <c r="B68" s="39" t="s">
        <v>111</v>
      </c>
      <c r="C68" s="72">
        <v>600</v>
      </c>
      <c r="D68" s="45">
        <f t="shared" ref="D68:F69" si="23">D69</f>
        <v>1231807.5</v>
      </c>
      <c r="E68" s="45">
        <f t="shared" si="23"/>
        <v>1231807.5</v>
      </c>
      <c r="F68" s="45">
        <f t="shared" si="23"/>
        <v>1231807.5</v>
      </c>
      <c r="G68" s="13"/>
      <c r="H68" s="13"/>
      <c r="I68" s="13"/>
      <c r="J68" s="13"/>
    </row>
    <row r="69" spans="1:10" s="3" customFormat="1" ht="12.75" x14ac:dyDescent="0.2">
      <c r="A69" s="73" t="s">
        <v>49</v>
      </c>
      <c r="B69" s="39" t="s">
        <v>111</v>
      </c>
      <c r="C69" s="72">
        <v>610</v>
      </c>
      <c r="D69" s="45">
        <f t="shared" si="23"/>
        <v>1231807.5</v>
      </c>
      <c r="E69" s="45">
        <f t="shared" si="23"/>
        <v>1231807.5</v>
      </c>
      <c r="F69" s="45">
        <f t="shared" si="23"/>
        <v>1231807.5</v>
      </c>
      <c r="G69" s="13"/>
      <c r="H69" s="13"/>
      <c r="I69" s="13"/>
      <c r="J69" s="13"/>
    </row>
    <row r="70" spans="1:10" s="3" customFormat="1" ht="12.75" x14ac:dyDescent="0.2">
      <c r="A70" s="74" t="s">
        <v>2</v>
      </c>
      <c r="B70" s="39" t="s">
        <v>111</v>
      </c>
      <c r="C70" s="72">
        <v>612</v>
      </c>
      <c r="D70" s="45">
        <v>1231807.5</v>
      </c>
      <c r="E70" s="45">
        <v>1231807.5</v>
      </c>
      <c r="F70" s="45">
        <v>1231807.5</v>
      </c>
      <c r="G70" s="13"/>
      <c r="H70" s="13"/>
      <c r="I70" s="13"/>
      <c r="J70" s="13"/>
    </row>
    <row r="71" spans="1:10" s="4" customFormat="1" ht="12.75" x14ac:dyDescent="0.2">
      <c r="A71" s="76" t="s">
        <v>54</v>
      </c>
      <c r="B71" s="69" t="s">
        <v>24</v>
      </c>
      <c r="C71" s="70"/>
      <c r="D71" s="55">
        <f>D72+D76+D84+D93+D112+D116+D100+D108+D104+D129+D89+D124+D120+D80</f>
        <v>952561061.18999994</v>
      </c>
      <c r="E71" s="55">
        <f t="shared" ref="E71:F71" si="24">E72+E76+E84+E93+E112+E116+E100+E108+E104+E129+E89+E124+E120+E80</f>
        <v>767223230.35000002</v>
      </c>
      <c r="F71" s="55">
        <f t="shared" si="24"/>
        <v>774765557.01000011</v>
      </c>
      <c r="G71" s="17"/>
      <c r="H71" s="17"/>
      <c r="I71" s="17"/>
      <c r="J71" s="17"/>
    </row>
    <row r="72" spans="1:10" s="3" customFormat="1" ht="72.75" customHeight="1" x14ac:dyDescent="0.2">
      <c r="A72" s="71" t="s">
        <v>356</v>
      </c>
      <c r="B72" s="77" t="s">
        <v>326</v>
      </c>
      <c r="C72" s="72"/>
      <c r="D72" s="45">
        <f>D74</f>
        <v>24860589.130000003</v>
      </c>
      <c r="E72" s="45">
        <f>E74</f>
        <v>35786144.649999999</v>
      </c>
      <c r="F72" s="45">
        <f>F74</f>
        <v>37217590.439999998</v>
      </c>
      <c r="G72" s="13"/>
      <c r="H72" s="13"/>
      <c r="I72" s="13"/>
      <c r="J72" s="13"/>
    </row>
    <row r="73" spans="1:10" s="3" customFormat="1" ht="36" customHeight="1" x14ac:dyDescent="0.2">
      <c r="A73" s="73" t="s">
        <v>81</v>
      </c>
      <c r="B73" s="77" t="s">
        <v>326</v>
      </c>
      <c r="C73" s="72">
        <v>600</v>
      </c>
      <c r="D73" s="45">
        <f t="shared" ref="D73:F74" si="25">D74</f>
        <v>24860589.130000003</v>
      </c>
      <c r="E73" s="45">
        <f t="shared" si="25"/>
        <v>35786144.649999999</v>
      </c>
      <c r="F73" s="45">
        <f t="shared" si="25"/>
        <v>37217590.439999998</v>
      </c>
      <c r="G73" s="13"/>
      <c r="H73" s="13"/>
      <c r="I73" s="13"/>
      <c r="J73" s="13"/>
    </row>
    <row r="74" spans="1:10" s="3" customFormat="1" ht="18.75" customHeight="1" x14ac:dyDescent="0.2">
      <c r="A74" s="73" t="s">
        <v>49</v>
      </c>
      <c r="B74" s="77" t="s">
        <v>326</v>
      </c>
      <c r="C74" s="72">
        <v>610</v>
      </c>
      <c r="D74" s="45">
        <f t="shared" si="25"/>
        <v>24860589.130000003</v>
      </c>
      <c r="E74" s="45">
        <f t="shared" si="25"/>
        <v>35786144.649999999</v>
      </c>
      <c r="F74" s="45">
        <f t="shared" si="25"/>
        <v>37217590.439999998</v>
      </c>
      <c r="G74" s="13"/>
      <c r="H74" s="13"/>
      <c r="I74" s="13"/>
      <c r="J74" s="13"/>
    </row>
    <row r="75" spans="1:10" s="3" customFormat="1" ht="21" customHeight="1" x14ac:dyDescent="0.2">
      <c r="A75" s="73" t="s">
        <v>2</v>
      </c>
      <c r="B75" s="77" t="s">
        <v>326</v>
      </c>
      <c r="C75" s="72">
        <v>612</v>
      </c>
      <c r="D75" s="45">
        <f>36220794.17-11360205.04</f>
        <v>24860589.130000003</v>
      </c>
      <c r="E75" s="45">
        <v>35786144.649999999</v>
      </c>
      <c r="F75" s="45">
        <v>37217590.439999998</v>
      </c>
      <c r="G75" s="13"/>
      <c r="H75" s="13"/>
      <c r="I75" s="13"/>
      <c r="J75" s="13"/>
    </row>
    <row r="76" spans="1:10" s="3" customFormat="1" ht="28.5" customHeight="1" x14ac:dyDescent="0.2">
      <c r="A76" s="52" t="s">
        <v>50</v>
      </c>
      <c r="B76" s="40" t="s">
        <v>327</v>
      </c>
      <c r="C76" s="72"/>
      <c r="D76" s="45">
        <f>D79</f>
        <v>484540308</v>
      </c>
      <c r="E76" s="45">
        <f>E79</f>
        <v>489530595.80000001</v>
      </c>
      <c r="F76" s="45">
        <f>F79</f>
        <v>493409423.60000002</v>
      </c>
      <c r="G76" s="13"/>
      <c r="H76" s="13"/>
      <c r="I76" s="13"/>
      <c r="J76" s="13"/>
    </row>
    <row r="77" spans="1:10" s="3" customFormat="1" ht="25.5" x14ac:dyDescent="0.2">
      <c r="A77" s="73" t="s">
        <v>81</v>
      </c>
      <c r="B77" s="40" t="s">
        <v>327</v>
      </c>
      <c r="C77" s="72">
        <v>600</v>
      </c>
      <c r="D77" s="45">
        <f t="shared" ref="D77:F78" si="26">D78</f>
        <v>484540308</v>
      </c>
      <c r="E77" s="45">
        <f t="shared" si="26"/>
        <v>489530595.80000001</v>
      </c>
      <c r="F77" s="45">
        <f t="shared" si="26"/>
        <v>493409423.60000002</v>
      </c>
      <c r="G77" s="13"/>
      <c r="H77" s="13"/>
      <c r="I77" s="13"/>
      <c r="J77" s="13"/>
    </row>
    <row r="78" spans="1:10" s="3" customFormat="1" ht="12.75" x14ac:dyDescent="0.2">
      <c r="A78" s="73" t="s">
        <v>49</v>
      </c>
      <c r="B78" s="40" t="s">
        <v>327</v>
      </c>
      <c r="C78" s="72">
        <v>610</v>
      </c>
      <c r="D78" s="45">
        <f t="shared" si="26"/>
        <v>484540308</v>
      </c>
      <c r="E78" s="45">
        <f t="shared" si="26"/>
        <v>489530595.80000001</v>
      </c>
      <c r="F78" s="45">
        <f t="shared" si="26"/>
        <v>493409423.60000002</v>
      </c>
      <c r="G78" s="13"/>
      <c r="H78" s="13"/>
      <c r="I78" s="13"/>
      <c r="J78" s="13"/>
    </row>
    <row r="79" spans="1:10" s="3" customFormat="1" ht="59.25" customHeight="1" x14ac:dyDescent="0.2">
      <c r="A79" s="73" t="s">
        <v>4</v>
      </c>
      <c r="B79" s="40" t="s">
        <v>327</v>
      </c>
      <c r="C79" s="72">
        <v>611</v>
      </c>
      <c r="D79" s="45">
        <f>478701142+188016+5651150</f>
        <v>484540308</v>
      </c>
      <c r="E79" s="45">
        <v>489530595.80000001</v>
      </c>
      <c r="F79" s="45">
        <v>493409423.60000002</v>
      </c>
      <c r="G79" s="13"/>
      <c r="H79" s="13"/>
      <c r="I79" s="13"/>
      <c r="J79" s="13"/>
    </row>
    <row r="80" spans="1:10" s="3" customFormat="1" ht="187.5" customHeight="1" x14ac:dyDescent="0.2">
      <c r="A80" s="78" t="s">
        <v>450</v>
      </c>
      <c r="B80" s="40" t="s">
        <v>451</v>
      </c>
      <c r="C80" s="72"/>
      <c r="D80" s="45">
        <f t="shared" ref="D80:D81" si="27">D81</f>
        <v>1144825.92</v>
      </c>
      <c r="E80" s="45">
        <f t="shared" ref="E80:E81" si="28">E81</f>
        <v>0</v>
      </c>
      <c r="F80" s="45">
        <f t="shared" ref="F80:F81" si="29">F81</f>
        <v>0</v>
      </c>
      <c r="G80" s="13"/>
      <c r="H80" s="13"/>
      <c r="I80" s="13"/>
      <c r="J80" s="13"/>
    </row>
    <row r="81" spans="1:10" s="3" customFormat="1" ht="27" customHeight="1" x14ac:dyDescent="0.2">
      <c r="A81" s="73" t="s">
        <v>81</v>
      </c>
      <c r="B81" s="40" t="s">
        <v>451</v>
      </c>
      <c r="C81" s="72">
        <v>600</v>
      </c>
      <c r="D81" s="45">
        <f t="shared" si="27"/>
        <v>1144825.92</v>
      </c>
      <c r="E81" s="45">
        <f t="shared" si="28"/>
        <v>0</v>
      </c>
      <c r="F81" s="45">
        <f t="shared" si="29"/>
        <v>0</v>
      </c>
      <c r="G81" s="13"/>
      <c r="H81" s="13"/>
      <c r="I81" s="13"/>
      <c r="J81" s="13"/>
    </row>
    <row r="82" spans="1:10" s="3" customFormat="1" ht="27" customHeight="1" x14ac:dyDescent="0.2">
      <c r="A82" s="73" t="s">
        <v>49</v>
      </c>
      <c r="B82" s="40" t="s">
        <v>451</v>
      </c>
      <c r="C82" s="72">
        <v>610</v>
      </c>
      <c r="D82" s="45">
        <f>D83</f>
        <v>1144825.92</v>
      </c>
      <c r="E82" s="45">
        <f t="shared" ref="E82:F82" si="30">E83</f>
        <v>0</v>
      </c>
      <c r="F82" s="45">
        <f t="shared" si="30"/>
        <v>0</v>
      </c>
      <c r="G82" s="13"/>
      <c r="H82" s="13"/>
      <c r="I82" s="13"/>
      <c r="J82" s="13"/>
    </row>
    <row r="83" spans="1:10" s="3" customFormat="1" ht="27" customHeight="1" x14ac:dyDescent="0.2">
      <c r="A83" s="73" t="s">
        <v>2</v>
      </c>
      <c r="B83" s="40" t="s">
        <v>451</v>
      </c>
      <c r="C83" s="72">
        <v>612</v>
      </c>
      <c r="D83" s="45">
        <v>1144825.92</v>
      </c>
      <c r="E83" s="45"/>
      <c r="F83" s="45"/>
      <c r="G83" s="13"/>
      <c r="H83" s="13"/>
      <c r="I83" s="13"/>
      <c r="J83" s="13"/>
    </row>
    <row r="84" spans="1:10" s="3" customFormat="1" ht="25.5" x14ac:dyDescent="0.2">
      <c r="A84" s="52" t="s">
        <v>51</v>
      </c>
      <c r="B84" s="39" t="s">
        <v>25</v>
      </c>
      <c r="C84" s="79"/>
      <c r="D84" s="45">
        <f>D86</f>
        <v>223957477.78999999</v>
      </c>
      <c r="E84" s="45">
        <f>E86</f>
        <v>144200895.91999999</v>
      </c>
      <c r="F84" s="45">
        <f>F86</f>
        <v>149105882.38</v>
      </c>
      <c r="G84" s="13"/>
      <c r="H84" s="13"/>
      <c r="I84" s="13"/>
      <c r="J84" s="13"/>
    </row>
    <row r="85" spans="1:10" s="3" customFormat="1" ht="25.5" x14ac:dyDescent="0.2">
      <c r="A85" s="73" t="s">
        <v>81</v>
      </c>
      <c r="B85" s="39" t="s">
        <v>25</v>
      </c>
      <c r="C85" s="79">
        <v>600</v>
      </c>
      <c r="D85" s="45">
        <f>D86</f>
        <v>223957477.78999999</v>
      </c>
      <c r="E85" s="45">
        <f>E86</f>
        <v>144200895.91999999</v>
      </c>
      <c r="F85" s="45">
        <f>F86</f>
        <v>149105882.38</v>
      </c>
      <c r="G85" s="13"/>
      <c r="H85" s="13"/>
      <c r="I85" s="13"/>
      <c r="J85" s="13"/>
    </row>
    <row r="86" spans="1:10" s="3" customFormat="1" ht="21" customHeight="1" x14ac:dyDescent="0.2">
      <c r="A86" s="73" t="s">
        <v>49</v>
      </c>
      <c r="B86" s="39" t="s">
        <v>25</v>
      </c>
      <c r="C86" s="79">
        <v>610</v>
      </c>
      <c r="D86" s="45">
        <f>D87+D88</f>
        <v>223957477.78999999</v>
      </c>
      <c r="E86" s="45">
        <f>E87+E88</f>
        <v>144200895.91999999</v>
      </c>
      <c r="F86" s="45">
        <f>F87+F88</f>
        <v>149105882.38</v>
      </c>
      <c r="G86" s="13"/>
      <c r="H86" s="13"/>
      <c r="I86" s="13"/>
      <c r="J86" s="13"/>
    </row>
    <row r="87" spans="1:10" s="3" customFormat="1" ht="54.75" customHeight="1" x14ac:dyDescent="0.2">
      <c r="A87" s="73" t="s">
        <v>4</v>
      </c>
      <c r="B87" s="39" t="s">
        <v>25</v>
      </c>
      <c r="C87" s="79">
        <v>611</v>
      </c>
      <c r="D87" s="45">
        <v>223571877.78999999</v>
      </c>
      <c r="E87" s="45">
        <f>152182097.92-450000-7916802</f>
        <v>143815295.91999999</v>
      </c>
      <c r="F87" s="45">
        <f>167670282.38-450000-18500000</f>
        <v>148720282.38</v>
      </c>
      <c r="G87" s="13"/>
      <c r="H87" s="13"/>
      <c r="I87" s="13"/>
      <c r="J87" s="13"/>
    </row>
    <row r="88" spans="1:10" s="3" customFormat="1" ht="21" customHeight="1" x14ac:dyDescent="0.2">
      <c r="A88" s="73" t="s">
        <v>2</v>
      </c>
      <c r="B88" s="39" t="s">
        <v>25</v>
      </c>
      <c r="C88" s="79">
        <v>612</v>
      </c>
      <c r="D88" s="45">
        <v>385600</v>
      </c>
      <c r="E88" s="45">
        <v>385600</v>
      </c>
      <c r="F88" s="45">
        <v>385600</v>
      </c>
      <c r="G88" s="13"/>
      <c r="H88" s="13"/>
      <c r="I88" s="13"/>
      <c r="J88" s="13"/>
    </row>
    <row r="89" spans="1:10" s="3" customFormat="1" ht="36.75" customHeight="1" x14ac:dyDescent="0.2">
      <c r="A89" s="42" t="s">
        <v>383</v>
      </c>
      <c r="B89" s="80" t="s">
        <v>400</v>
      </c>
      <c r="C89" s="51"/>
      <c r="D89" s="45">
        <f>D91</f>
        <v>884950.51</v>
      </c>
      <c r="E89" s="45">
        <f t="shared" ref="E89:F89" si="31">E91</f>
        <v>0</v>
      </c>
      <c r="F89" s="45">
        <f t="shared" si="31"/>
        <v>0</v>
      </c>
      <c r="G89" s="13"/>
      <c r="H89" s="13"/>
      <c r="I89" s="13"/>
      <c r="J89" s="13"/>
    </row>
    <row r="90" spans="1:10" s="3" customFormat="1" ht="31.5" customHeight="1" x14ac:dyDescent="0.2">
      <c r="A90" s="81" t="s">
        <v>78</v>
      </c>
      <c r="B90" s="80" t="s">
        <v>400</v>
      </c>
      <c r="C90" s="79">
        <v>400</v>
      </c>
      <c r="D90" s="45">
        <v>884950.51</v>
      </c>
      <c r="E90" s="45">
        <f t="shared" ref="E90:F91" si="32">E91</f>
        <v>0</v>
      </c>
      <c r="F90" s="45">
        <f t="shared" si="32"/>
        <v>0</v>
      </c>
      <c r="G90" s="13"/>
      <c r="H90" s="13"/>
      <c r="I90" s="13"/>
      <c r="J90" s="13"/>
    </row>
    <row r="91" spans="1:10" s="3" customFormat="1" ht="17.25" customHeight="1" x14ac:dyDescent="0.2">
      <c r="A91" s="81" t="s">
        <v>79</v>
      </c>
      <c r="B91" s="80" t="s">
        <v>400</v>
      </c>
      <c r="C91" s="79">
        <v>410</v>
      </c>
      <c r="D91" s="45">
        <v>884950.51</v>
      </c>
      <c r="E91" s="45">
        <f t="shared" si="32"/>
        <v>0</v>
      </c>
      <c r="F91" s="45">
        <f t="shared" si="32"/>
        <v>0</v>
      </c>
      <c r="G91" s="13"/>
      <c r="H91" s="13"/>
      <c r="I91" s="13"/>
      <c r="J91" s="13"/>
    </row>
    <row r="92" spans="1:10" s="3" customFormat="1" ht="36.75" customHeight="1" x14ac:dyDescent="0.2">
      <c r="A92" s="81" t="s">
        <v>102</v>
      </c>
      <c r="B92" s="80" t="s">
        <v>400</v>
      </c>
      <c r="C92" s="79">
        <v>414</v>
      </c>
      <c r="D92" s="45">
        <v>884950.51</v>
      </c>
      <c r="E92" s="45">
        <v>0</v>
      </c>
      <c r="F92" s="45">
        <v>0</v>
      </c>
      <c r="G92" s="13"/>
      <c r="H92" s="13"/>
      <c r="I92" s="13"/>
      <c r="J92" s="13"/>
    </row>
    <row r="93" spans="1:10" s="3" customFormat="1" ht="22.5" customHeight="1" x14ac:dyDescent="0.2">
      <c r="A93" s="52" t="s">
        <v>53</v>
      </c>
      <c r="B93" s="39" t="s">
        <v>110</v>
      </c>
      <c r="C93" s="51"/>
      <c r="D93" s="45">
        <f>D98+D94</f>
        <v>13152540</v>
      </c>
      <c r="E93" s="45">
        <f t="shared" ref="E93:F93" si="33">E98+E94</f>
        <v>2641540</v>
      </c>
      <c r="F93" s="45">
        <f t="shared" si="33"/>
        <v>2641540</v>
      </c>
      <c r="G93" s="13"/>
      <c r="H93" s="13"/>
      <c r="I93" s="13"/>
      <c r="J93" s="13"/>
    </row>
    <row r="94" spans="1:10" s="11" customFormat="1" ht="30" customHeight="1" x14ac:dyDescent="0.2">
      <c r="A94" s="52" t="s">
        <v>80</v>
      </c>
      <c r="B94" s="39" t="s">
        <v>110</v>
      </c>
      <c r="C94" s="51">
        <v>200</v>
      </c>
      <c r="D94" s="45">
        <f>D95</f>
        <v>2011000</v>
      </c>
      <c r="E94" s="45">
        <f t="shared" ref="E94" si="34">E95</f>
        <v>0</v>
      </c>
      <c r="F94" s="45">
        <f t="shared" ref="F94" si="35">F95</f>
        <v>0</v>
      </c>
    </row>
    <row r="95" spans="1:10" s="11" customFormat="1" ht="26.25" customHeight="1" x14ac:dyDescent="0.2">
      <c r="A95" s="52" t="s">
        <v>62</v>
      </c>
      <c r="B95" s="39" t="s">
        <v>110</v>
      </c>
      <c r="C95" s="51">
        <v>240</v>
      </c>
      <c r="D95" s="45">
        <f>D96</f>
        <v>2011000</v>
      </c>
      <c r="E95" s="45">
        <f t="shared" ref="E95:F95" si="36">E96</f>
        <v>0</v>
      </c>
      <c r="F95" s="45">
        <f t="shared" si="36"/>
        <v>0</v>
      </c>
    </row>
    <row r="96" spans="1:10" s="11" customFormat="1" ht="36" customHeight="1" x14ac:dyDescent="0.2">
      <c r="A96" s="82" t="s">
        <v>344</v>
      </c>
      <c r="B96" s="39" t="s">
        <v>110</v>
      </c>
      <c r="C96" s="51">
        <v>243</v>
      </c>
      <c r="D96" s="45">
        <v>2011000</v>
      </c>
      <c r="E96" s="45">
        <v>0</v>
      </c>
      <c r="F96" s="45">
        <v>0</v>
      </c>
    </row>
    <row r="97" spans="1:10" s="3" customFormat="1" ht="31.5" customHeight="1" x14ac:dyDescent="0.2">
      <c r="A97" s="73" t="s">
        <v>81</v>
      </c>
      <c r="B97" s="39" t="s">
        <v>110</v>
      </c>
      <c r="C97" s="79">
        <v>600</v>
      </c>
      <c r="D97" s="45">
        <f t="shared" ref="D97:F98" si="37">D98</f>
        <v>11141540</v>
      </c>
      <c r="E97" s="45">
        <f t="shared" si="37"/>
        <v>2641540</v>
      </c>
      <c r="F97" s="45">
        <f t="shared" si="37"/>
        <v>2641540</v>
      </c>
      <c r="G97" s="13"/>
      <c r="H97" s="13"/>
      <c r="I97" s="13"/>
      <c r="J97" s="13"/>
    </row>
    <row r="98" spans="1:10" s="3" customFormat="1" ht="17.25" customHeight="1" x14ac:dyDescent="0.2">
      <c r="A98" s="73" t="s">
        <v>49</v>
      </c>
      <c r="B98" s="39" t="s">
        <v>110</v>
      </c>
      <c r="C98" s="79">
        <v>610</v>
      </c>
      <c r="D98" s="45">
        <f t="shared" si="37"/>
        <v>11141540</v>
      </c>
      <c r="E98" s="45">
        <f t="shared" si="37"/>
        <v>2641540</v>
      </c>
      <c r="F98" s="45">
        <f t="shared" si="37"/>
        <v>2641540</v>
      </c>
      <c r="G98" s="13"/>
      <c r="H98" s="13"/>
      <c r="I98" s="13"/>
      <c r="J98" s="13"/>
    </row>
    <row r="99" spans="1:10" s="3" customFormat="1" ht="18.75" customHeight="1" x14ac:dyDescent="0.2">
      <c r="A99" s="74" t="s">
        <v>2</v>
      </c>
      <c r="B99" s="39" t="s">
        <v>110</v>
      </c>
      <c r="C99" s="79">
        <v>612</v>
      </c>
      <c r="D99" s="45">
        <f>14141540-3000000</f>
        <v>11141540</v>
      </c>
      <c r="E99" s="45">
        <v>2641540</v>
      </c>
      <c r="F99" s="45">
        <v>2641540</v>
      </c>
      <c r="G99" s="13"/>
      <c r="H99" s="13"/>
      <c r="I99" s="13"/>
      <c r="J99" s="13"/>
    </row>
    <row r="100" spans="1:10" s="3" customFormat="1" ht="63.75" x14ac:dyDescent="0.2">
      <c r="A100" s="83" t="s">
        <v>240</v>
      </c>
      <c r="B100" s="40" t="s">
        <v>241</v>
      </c>
      <c r="C100" s="62"/>
      <c r="D100" s="45">
        <f>D102</f>
        <v>0</v>
      </c>
      <c r="E100" s="45">
        <f>E102</f>
        <v>1057252</v>
      </c>
      <c r="F100" s="45">
        <f>F102</f>
        <v>1057252</v>
      </c>
      <c r="G100" s="13"/>
      <c r="H100" s="13"/>
      <c r="I100" s="13"/>
      <c r="J100" s="13"/>
    </row>
    <row r="101" spans="1:10" s="3" customFormat="1" ht="25.5" x14ac:dyDescent="0.2">
      <c r="A101" s="60" t="s">
        <v>81</v>
      </c>
      <c r="B101" s="40" t="s">
        <v>241</v>
      </c>
      <c r="C101" s="62">
        <v>600</v>
      </c>
      <c r="D101" s="45">
        <f t="shared" ref="D101:F102" si="38">D102</f>
        <v>0</v>
      </c>
      <c r="E101" s="45">
        <f t="shared" si="38"/>
        <v>1057252</v>
      </c>
      <c r="F101" s="45">
        <f t="shared" si="38"/>
        <v>1057252</v>
      </c>
      <c r="G101" s="13"/>
      <c r="H101" s="13"/>
      <c r="I101" s="13"/>
      <c r="J101" s="13"/>
    </row>
    <row r="102" spans="1:10" s="3" customFormat="1" ht="12.75" x14ac:dyDescent="0.2">
      <c r="A102" s="60" t="s">
        <v>49</v>
      </c>
      <c r="B102" s="40" t="s">
        <v>241</v>
      </c>
      <c r="C102" s="62">
        <v>610</v>
      </c>
      <c r="D102" s="45">
        <f t="shared" si="38"/>
        <v>0</v>
      </c>
      <c r="E102" s="45">
        <f t="shared" si="38"/>
        <v>1057252</v>
      </c>
      <c r="F102" s="45">
        <f t="shared" si="38"/>
        <v>1057252</v>
      </c>
      <c r="G102" s="13"/>
      <c r="H102" s="13"/>
      <c r="I102" s="13"/>
      <c r="J102" s="13"/>
    </row>
    <row r="103" spans="1:10" s="3" customFormat="1" ht="12.75" x14ac:dyDescent="0.2">
      <c r="A103" s="60" t="s">
        <v>64</v>
      </c>
      <c r="B103" s="40" t="s">
        <v>241</v>
      </c>
      <c r="C103" s="62">
        <v>612</v>
      </c>
      <c r="D103" s="45">
        <f>1057252-15800-1041452</f>
        <v>0</v>
      </c>
      <c r="E103" s="45">
        <f>2114504-1057252</f>
        <v>1057252</v>
      </c>
      <c r="F103" s="45">
        <f>2114504-1057252</f>
        <v>1057252</v>
      </c>
      <c r="G103" s="13"/>
      <c r="H103" s="13"/>
      <c r="I103" s="13"/>
      <c r="J103" s="13"/>
    </row>
    <row r="104" spans="1:10" s="3" customFormat="1" ht="51" x14ac:dyDescent="0.2">
      <c r="A104" s="71" t="s">
        <v>328</v>
      </c>
      <c r="B104" s="77" t="s">
        <v>329</v>
      </c>
      <c r="C104" s="64"/>
      <c r="D104" s="45">
        <f>D106</f>
        <v>252339.11</v>
      </c>
      <c r="E104" s="45">
        <f>E106</f>
        <v>252339.11</v>
      </c>
      <c r="F104" s="66">
        <f>F106</f>
        <v>252339.11</v>
      </c>
      <c r="G104" s="13"/>
      <c r="H104" s="13"/>
      <c r="I104" s="13"/>
      <c r="J104" s="13"/>
    </row>
    <row r="105" spans="1:10" s="3" customFormat="1" ht="25.5" x14ac:dyDescent="0.2">
      <c r="A105" s="52" t="s">
        <v>81</v>
      </c>
      <c r="B105" s="77" t="s">
        <v>329</v>
      </c>
      <c r="C105" s="64" t="s">
        <v>239</v>
      </c>
      <c r="D105" s="45">
        <f t="shared" ref="D105:F106" si="39">D106</f>
        <v>252339.11</v>
      </c>
      <c r="E105" s="45">
        <f t="shared" si="39"/>
        <v>252339.11</v>
      </c>
      <c r="F105" s="66">
        <f t="shared" si="39"/>
        <v>252339.11</v>
      </c>
      <c r="G105" s="13"/>
      <c r="H105" s="13"/>
      <c r="I105" s="13"/>
      <c r="J105" s="13"/>
    </row>
    <row r="106" spans="1:10" s="3" customFormat="1" ht="12.75" x14ac:dyDescent="0.2">
      <c r="A106" s="52" t="s">
        <v>49</v>
      </c>
      <c r="B106" s="77" t="s">
        <v>329</v>
      </c>
      <c r="C106" s="64" t="s">
        <v>330</v>
      </c>
      <c r="D106" s="45">
        <f t="shared" si="39"/>
        <v>252339.11</v>
      </c>
      <c r="E106" s="45">
        <f>E107</f>
        <v>252339.11</v>
      </c>
      <c r="F106" s="66">
        <f t="shared" si="39"/>
        <v>252339.11</v>
      </c>
      <c r="G106" s="13"/>
      <c r="H106" s="13"/>
      <c r="I106" s="13"/>
      <c r="J106" s="13"/>
    </row>
    <row r="107" spans="1:10" s="3" customFormat="1" ht="12.75" x14ac:dyDescent="0.2">
      <c r="A107" s="52" t="s">
        <v>64</v>
      </c>
      <c r="B107" s="77" t="s">
        <v>329</v>
      </c>
      <c r="C107" s="64" t="s">
        <v>331</v>
      </c>
      <c r="D107" s="45">
        <v>252339.11</v>
      </c>
      <c r="E107" s="45">
        <v>252339.11</v>
      </c>
      <c r="F107" s="45">
        <v>252339.11</v>
      </c>
      <c r="G107" s="13"/>
      <c r="H107" s="13"/>
      <c r="I107" s="13"/>
      <c r="J107" s="13"/>
    </row>
    <row r="108" spans="1:10" s="3" customFormat="1" ht="38.25" x14ac:dyDescent="0.2">
      <c r="A108" s="71" t="s">
        <v>458</v>
      </c>
      <c r="B108" s="40" t="s">
        <v>242</v>
      </c>
      <c r="C108" s="62"/>
      <c r="D108" s="45">
        <f>D109</f>
        <v>374712.87</v>
      </c>
      <c r="E108" s="45">
        <f t="shared" ref="E108:F110" si="40">E109</f>
        <v>117241.45</v>
      </c>
      <c r="F108" s="45">
        <f t="shared" si="40"/>
        <v>117241.45</v>
      </c>
      <c r="G108" s="13"/>
      <c r="H108" s="13"/>
      <c r="I108" s="13"/>
      <c r="J108" s="13"/>
    </row>
    <row r="109" spans="1:10" s="3" customFormat="1" ht="31.5" customHeight="1" x14ac:dyDescent="0.2">
      <c r="A109" s="52" t="s">
        <v>81</v>
      </c>
      <c r="B109" s="40" t="s">
        <v>242</v>
      </c>
      <c r="C109" s="62">
        <v>600</v>
      </c>
      <c r="D109" s="45">
        <f>D110</f>
        <v>374712.87</v>
      </c>
      <c r="E109" s="45">
        <f t="shared" si="40"/>
        <v>117241.45</v>
      </c>
      <c r="F109" s="45">
        <f t="shared" si="40"/>
        <v>117241.45</v>
      </c>
      <c r="G109" s="13"/>
      <c r="H109" s="13"/>
      <c r="I109" s="13"/>
      <c r="J109" s="13"/>
    </row>
    <row r="110" spans="1:10" s="3" customFormat="1" ht="15" customHeight="1" x14ac:dyDescent="0.2">
      <c r="A110" s="52" t="s">
        <v>49</v>
      </c>
      <c r="B110" s="40" t="s">
        <v>242</v>
      </c>
      <c r="C110" s="62">
        <v>610</v>
      </c>
      <c r="D110" s="45">
        <f>D111</f>
        <v>374712.87</v>
      </c>
      <c r="E110" s="45">
        <f t="shared" si="40"/>
        <v>117241.45</v>
      </c>
      <c r="F110" s="45">
        <f t="shared" si="40"/>
        <v>117241.45</v>
      </c>
      <c r="G110" s="13"/>
      <c r="H110" s="13"/>
      <c r="I110" s="13"/>
      <c r="J110" s="13"/>
    </row>
    <row r="111" spans="1:10" s="3" customFormat="1" ht="18.75" customHeight="1" x14ac:dyDescent="0.2">
      <c r="A111" s="52" t="s">
        <v>64</v>
      </c>
      <c r="B111" s="40" t="s">
        <v>242</v>
      </c>
      <c r="C111" s="62">
        <v>612</v>
      </c>
      <c r="D111" s="45">
        <f>117241.45+257471.42</f>
        <v>374712.87</v>
      </c>
      <c r="E111" s="45">
        <v>117241.45</v>
      </c>
      <c r="F111" s="45">
        <v>117241.45</v>
      </c>
      <c r="G111" s="13"/>
      <c r="H111" s="13"/>
      <c r="I111" s="13"/>
      <c r="J111" s="13"/>
    </row>
    <row r="112" spans="1:10" s="3" customFormat="1" ht="60" customHeight="1" x14ac:dyDescent="0.2">
      <c r="A112" s="63" t="s">
        <v>93</v>
      </c>
      <c r="B112" s="40" t="s">
        <v>94</v>
      </c>
      <c r="C112" s="72"/>
      <c r="D112" s="45">
        <f>D114</f>
        <v>83312.95</v>
      </c>
      <c r="E112" s="45">
        <f>E114</f>
        <v>140000</v>
      </c>
      <c r="F112" s="45">
        <f>F114</f>
        <v>140000</v>
      </c>
      <c r="G112" s="13"/>
      <c r="H112" s="13"/>
      <c r="I112" s="13"/>
      <c r="J112" s="13"/>
    </row>
    <row r="113" spans="1:10" s="3" customFormat="1" ht="25.5" x14ac:dyDescent="0.2">
      <c r="A113" s="73" t="s">
        <v>81</v>
      </c>
      <c r="B113" s="40" t="s">
        <v>94</v>
      </c>
      <c r="C113" s="62">
        <v>600</v>
      </c>
      <c r="D113" s="45">
        <f t="shared" ref="D113:F114" si="41">D114</f>
        <v>83312.95</v>
      </c>
      <c r="E113" s="45">
        <f t="shared" si="41"/>
        <v>140000</v>
      </c>
      <c r="F113" s="45">
        <f t="shared" si="41"/>
        <v>140000</v>
      </c>
      <c r="G113" s="13"/>
      <c r="H113" s="13"/>
      <c r="I113" s="13"/>
      <c r="J113" s="13"/>
    </row>
    <row r="114" spans="1:10" s="3" customFormat="1" ht="12.75" x14ac:dyDescent="0.2">
      <c r="A114" s="52" t="s">
        <v>49</v>
      </c>
      <c r="B114" s="40" t="s">
        <v>94</v>
      </c>
      <c r="C114" s="62">
        <v>610</v>
      </c>
      <c r="D114" s="45">
        <f t="shared" si="41"/>
        <v>83312.95</v>
      </c>
      <c r="E114" s="45">
        <f t="shared" si="41"/>
        <v>140000</v>
      </c>
      <c r="F114" s="45">
        <f t="shared" si="41"/>
        <v>140000</v>
      </c>
      <c r="G114" s="13"/>
      <c r="H114" s="13"/>
      <c r="I114" s="13"/>
      <c r="J114" s="13"/>
    </row>
    <row r="115" spans="1:10" s="3" customFormat="1" ht="12.75" x14ac:dyDescent="0.2">
      <c r="A115" s="52" t="s">
        <v>64</v>
      </c>
      <c r="B115" s="40" t="s">
        <v>94</v>
      </c>
      <c r="C115" s="62">
        <v>612</v>
      </c>
      <c r="D115" s="45">
        <v>83312.95</v>
      </c>
      <c r="E115" s="45">
        <v>140000</v>
      </c>
      <c r="F115" s="45">
        <v>140000</v>
      </c>
      <c r="G115" s="13"/>
      <c r="H115" s="13"/>
      <c r="I115" s="13"/>
      <c r="J115" s="13"/>
    </row>
    <row r="116" spans="1:10" s="3" customFormat="1" ht="54.75" customHeight="1" x14ac:dyDescent="0.2">
      <c r="A116" s="84" t="s">
        <v>462</v>
      </c>
      <c r="B116" s="40" t="s">
        <v>448</v>
      </c>
      <c r="C116" s="72"/>
      <c r="D116" s="45">
        <f>D118</f>
        <v>25486711.93</v>
      </c>
      <c r="E116" s="45">
        <f>E118</f>
        <v>21987743.629999999</v>
      </c>
      <c r="F116" s="45">
        <f>F118</f>
        <v>20111634.239999998</v>
      </c>
      <c r="G116" s="13"/>
      <c r="H116" s="13"/>
      <c r="I116" s="13"/>
      <c r="J116" s="13"/>
    </row>
    <row r="117" spans="1:10" s="3" customFormat="1" ht="25.5" x14ac:dyDescent="0.2">
      <c r="A117" s="73" t="s">
        <v>81</v>
      </c>
      <c r="B117" s="40" t="s">
        <v>448</v>
      </c>
      <c r="C117" s="62">
        <v>600</v>
      </c>
      <c r="D117" s="45">
        <f t="shared" ref="D117:F118" si="42">D118</f>
        <v>25486711.93</v>
      </c>
      <c r="E117" s="45">
        <f t="shared" si="42"/>
        <v>21987743.629999999</v>
      </c>
      <c r="F117" s="45">
        <f t="shared" si="42"/>
        <v>20111634.239999998</v>
      </c>
      <c r="G117" s="13"/>
      <c r="H117" s="13"/>
      <c r="I117" s="13"/>
      <c r="J117" s="13"/>
    </row>
    <row r="118" spans="1:10" s="3" customFormat="1" ht="12.75" x14ac:dyDescent="0.2">
      <c r="A118" s="52" t="s">
        <v>49</v>
      </c>
      <c r="B118" s="40" t="s">
        <v>448</v>
      </c>
      <c r="C118" s="62">
        <v>610</v>
      </c>
      <c r="D118" s="45">
        <f t="shared" si="42"/>
        <v>25486711.93</v>
      </c>
      <c r="E118" s="45">
        <f t="shared" si="42"/>
        <v>21987743.629999999</v>
      </c>
      <c r="F118" s="45">
        <f t="shared" si="42"/>
        <v>20111634.239999998</v>
      </c>
      <c r="G118" s="13"/>
      <c r="H118" s="13"/>
      <c r="I118" s="13"/>
      <c r="J118" s="13"/>
    </row>
    <row r="119" spans="1:10" s="3" customFormat="1" ht="12.75" x14ac:dyDescent="0.2">
      <c r="A119" s="52" t="s">
        <v>64</v>
      </c>
      <c r="B119" s="40" t="s">
        <v>448</v>
      </c>
      <c r="C119" s="62">
        <v>612</v>
      </c>
      <c r="D119" s="45">
        <f>25486711.93</f>
        <v>25486711.93</v>
      </c>
      <c r="E119" s="45">
        <v>21987743.629999999</v>
      </c>
      <c r="F119" s="45">
        <v>20111634.239999998</v>
      </c>
      <c r="G119" s="13"/>
      <c r="H119" s="13"/>
      <c r="I119" s="13"/>
      <c r="J119" s="13"/>
    </row>
    <row r="120" spans="1:10" s="3" customFormat="1" ht="66" customHeight="1" x14ac:dyDescent="0.2">
      <c r="A120" s="52" t="s">
        <v>108</v>
      </c>
      <c r="B120" s="43" t="s">
        <v>433</v>
      </c>
      <c r="C120" s="62"/>
      <c r="D120" s="45">
        <f t="shared" ref="D120:D121" si="43">D121</f>
        <v>0</v>
      </c>
      <c r="E120" s="45">
        <f t="shared" ref="E120:E121" si="44">E121</f>
        <v>0</v>
      </c>
      <c r="F120" s="45">
        <f t="shared" ref="F120:F121" si="45">F121</f>
        <v>0</v>
      </c>
      <c r="G120" s="13"/>
      <c r="H120" s="13"/>
      <c r="I120" s="13"/>
      <c r="J120" s="13"/>
    </row>
    <row r="121" spans="1:10" s="3" customFormat="1" ht="25.5" x14ac:dyDescent="0.2">
      <c r="A121" s="52" t="s">
        <v>81</v>
      </c>
      <c r="B121" s="43" t="s">
        <v>433</v>
      </c>
      <c r="C121" s="62">
        <v>600</v>
      </c>
      <c r="D121" s="45">
        <f t="shared" si="43"/>
        <v>0</v>
      </c>
      <c r="E121" s="45">
        <f t="shared" si="44"/>
        <v>0</v>
      </c>
      <c r="F121" s="45">
        <f t="shared" si="45"/>
        <v>0</v>
      </c>
      <c r="G121" s="13"/>
      <c r="H121" s="13"/>
      <c r="I121" s="13"/>
      <c r="J121" s="13"/>
    </row>
    <row r="122" spans="1:10" s="3" customFormat="1" ht="12.75" x14ac:dyDescent="0.2">
      <c r="A122" s="52" t="s">
        <v>49</v>
      </c>
      <c r="B122" s="43" t="s">
        <v>433</v>
      </c>
      <c r="C122" s="62">
        <v>610</v>
      </c>
      <c r="D122" s="45">
        <f>D123</f>
        <v>0</v>
      </c>
      <c r="E122" s="45">
        <f t="shared" ref="E122:F122" si="46">E123</f>
        <v>0</v>
      </c>
      <c r="F122" s="45">
        <f t="shared" si="46"/>
        <v>0</v>
      </c>
      <c r="G122" s="13"/>
      <c r="H122" s="13"/>
      <c r="I122" s="13"/>
      <c r="J122" s="13"/>
    </row>
    <row r="123" spans="1:10" s="3" customFormat="1" ht="16.5" customHeight="1" x14ac:dyDescent="0.2">
      <c r="A123" s="52" t="s">
        <v>64</v>
      </c>
      <c r="B123" s="43" t="s">
        <v>433</v>
      </c>
      <c r="C123" s="62">
        <v>612</v>
      </c>
      <c r="D123" s="45">
        <f>25486711.93-25486711.93</f>
        <v>0</v>
      </c>
      <c r="E123" s="45">
        <f>21987743.63-21987743.63</f>
        <v>0</v>
      </c>
      <c r="F123" s="45">
        <f>20111634.24-20111634.24</f>
        <v>0</v>
      </c>
      <c r="G123" s="13"/>
      <c r="H123" s="13"/>
      <c r="I123" s="13"/>
      <c r="J123" s="13"/>
    </row>
    <row r="124" spans="1:10" s="3" customFormat="1" ht="25.5" x14ac:dyDescent="0.2">
      <c r="A124" s="52" t="s">
        <v>430</v>
      </c>
      <c r="B124" s="43" t="s">
        <v>432</v>
      </c>
      <c r="C124" s="62"/>
      <c r="D124" s="45">
        <f t="shared" ref="D124:D126" si="47">D125</f>
        <v>105019101.12</v>
      </c>
      <c r="E124" s="45">
        <f t="shared" ref="E124:E126" si="48">E125</f>
        <v>0</v>
      </c>
      <c r="F124" s="45">
        <f t="shared" ref="F124:F126" si="49">F125</f>
        <v>0</v>
      </c>
      <c r="G124" s="13"/>
      <c r="H124" s="13"/>
      <c r="I124" s="13"/>
      <c r="J124" s="13"/>
    </row>
    <row r="125" spans="1:10" s="3" customFormat="1" ht="30.75" customHeight="1" x14ac:dyDescent="0.2">
      <c r="A125" s="52" t="s">
        <v>429</v>
      </c>
      <c r="B125" s="43" t="s">
        <v>431</v>
      </c>
      <c r="C125" s="62"/>
      <c r="D125" s="45">
        <f t="shared" si="47"/>
        <v>105019101.12</v>
      </c>
      <c r="E125" s="45">
        <f t="shared" si="48"/>
        <v>0</v>
      </c>
      <c r="F125" s="45">
        <f t="shared" si="49"/>
        <v>0</v>
      </c>
      <c r="G125" s="13"/>
      <c r="H125" s="13"/>
      <c r="I125" s="13"/>
      <c r="J125" s="13"/>
    </row>
    <row r="126" spans="1:10" s="3" customFormat="1" ht="31.5" customHeight="1" x14ac:dyDescent="0.2">
      <c r="A126" s="52" t="s">
        <v>80</v>
      </c>
      <c r="B126" s="43" t="s">
        <v>431</v>
      </c>
      <c r="C126" s="62">
        <v>200</v>
      </c>
      <c r="D126" s="45">
        <f t="shared" si="47"/>
        <v>105019101.12</v>
      </c>
      <c r="E126" s="45">
        <f t="shared" si="48"/>
        <v>0</v>
      </c>
      <c r="F126" s="45">
        <f t="shared" si="49"/>
        <v>0</v>
      </c>
      <c r="G126" s="13"/>
      <c r="H126" s="13"/>
      <c r="I126" s="13"/>
      <c r="J126" s="13"/>
    </row>
    <row r="127" spans="1:10" s="3" customFormat="1" ht="25.5" x14ac:dyDescent="0.2">
      <c r="A127" s="52" t="s">
        <v>62</v>
      </c>
      <c r="B127" s="43" t="s">
        <v>431</v>
      </c>
      <c r="C127" s="62">
        <v>240</v>
      </c>
      <c r="D127" s="45">
        <f>D128</f>
        <v>105019101.12</v>
      </c>
      <c r="E127" s="45">
        <f t="shared" ref="E127:F127" si="50">E128</f>
        <v>0</v>
      </c>
      <c r="F127" s="45">
        <f t="shared" si="50"/>
        <v>0</v>
      </c>
      <c r="G127" s="13"/>
      <c r="H127" s="13"/>
      <c r="I127" s="13"/>
      <c r="J127" s="13"/>
    </row>
    <row r="128" spans="1:10" s="3" customFormat="1" ht="12.75" x14ac:dyDescent="0.2">
      <c r="A128" s="52" t="s">
        <v>428</v>
      </c>
      <c r="B128" s="43" t="s">
        <v>431</v>
      </c>
      <c r="C128" s="62">
        <v>243</v>
      </c>
      <c r="D128" s="45">
        <v>105019101.12</v>
      </c>
      <c r="E128" s="45"/>
      <c r="F128" s="45"/>
      <c r="G128" s="13"/>
      <c r="H128" s="13"/>
      <c r="I128" s="13"/>
      <c r="J128" s="13"/>
    </row>
    <row r="129" spans="1:10" s="10" customFormat="1" ht="25.5" x14ac:dyDescent="0.2">
      <c r="A129" s="52" t="s">
        <v>396</v>
      </c>
      <c r="B129" s="85" t="s">
        <v>397</v>
      </c>
      <c r="C129" s="72"/>
      <c r="D129" s="45">
        <f>D138+D134+D130</f>
        <v>72804191.859999999</v>
      </c>
      <c r="E129" s="45">
        <f t="shared" ref="E129:F129" si="51">E138+E134+E130</f>
        <v>71509477.790000007</v>
      </c>
      <c r="F129" s="45">
        <f t="shared" si="51"/>
        <v>70712653.790000007</v>
      </c>
      <c r="G129" s="17"/>
      <c r="H129" s="17"/>
      <c r="I129" s="17"/>
      <c r="J129" s="17"/>
    </row>
    <row r="130" spans="1:10" s="10" customFormat="1" ht="116.25" customHeight="1" x14ac:dyDescent="0.2">
      <c r="A130" s="42" t="s">
        <v>435</v>
      </c>
      <c r="B130" s="85" t="s">
        <v>434</v>
      </c>
      <c r="C130" s="72"/>
      <c r="D130" s="45">
        <f t="shared" ref="D130:D131" si="52">D131</f>
        <v>1460844</v>
      </c>
      <c r="E130" s="45">
        <f t="shared" ref="E130:E131" si="53">E131</f>
        <v>1460844</v>
      </c>
      <c r="F130" s="45">
        <f t="shared" ref="F130:F131" si="54">F131</f>
        <v>1460844</v>
      </c>
      <c r="G130" s="17"/>
      <c r="H130" s="17"/>
      <c r="I130" s="17"/>
      <c r="J130" s="17"/>
    </row>
    <row r="131" spans="1:10" s="10" customFormat="1" ht="25.5" x14ac:dyDescent="0.2">
      <c r="A131" s="42" t="s">
        <v>81</v>
      </c>
      <c r="B131" s="85" t="s">
        <v>434</v>
      </c>
      <c r="C131" s="72">
        <v>600</v>
      </c>
      <c r="D131" s="45">
        <f t="shared" si="52"/>
        <v>1460844</v>
      </c>
      <c r="E131" s="45">
        <f t="shared" si="53"/>
        <v>1460844</v>
      </c>
      <c r="F131" s="45">
        <f t="shared" si="54"/>
        <v>1460844</v>
      </c>
      <c r="G131" s="17"/>
      <c r="H131" s="17"/>
      <c r="I131" s="17"/>
      <c r="J131" s="17"/>
    </row>
    <row r="132" spans="1:10" s="10" customFormat="1" ht="12.75" x14ac:dyDescent="0.2">
      <c r="A132" s="42" t="s">
        <v>49</v>
      </c>
      <c r="B132" s="85" t="s">
        <v>434</v>
      </c>
      <c r="C132" s="72">
        <v>610</v>
      </c>
      <c r="D132" s="45">
        <f>D133</f>
        <v>1460844</v>
      </c>
      <c r="E132" s="45">
        <f t="shared" ref="E132:F132" si="55">E133</f>
        <v>1460844</v>
      </c>
      <c r="F132" s="45">
        <f t="shared" si="55"/>
        <v>1460844</v>
      </c>
      <c r="G132" s="17"/>
      <c r="H132" s="17"/>
      <c r="I132" s="17"/>
      <c r="J132" s="17"/>
    </row>
    <row r="133" spans="1:10" s="10" customFormat="1" ht="12.75" x14ac:dyDescent="0.2">
      <c r="A133" s="42" t="s">
        <v>64</v>
      </c>
      <c r="B133" s="85" t="s">
        <v>434</v>
      </c>
      <c r="C133" s="72">
        <v>612</v>
      </c>
      <c r="D133" s="45">
        <v>1460844</v>
      </c>
      <c r="E133" s="45">
        <v>1460844</v>
      </c>
      <c r="F133" s="45">
        <v>1460844</v>
      </c>
      <c r="G133" s="17"/>
      <c r="H133" s="17"/>
      <c r="I133" s="17"/>
      <c r="J133" s="17"/>
    </row>
    <row r="134" spans="1:10" s="7" customFormat="1" ht="55.5" customHeight="1" x14ac:dyDescent="0.2">
      <c r="A134" s="63" t="s">
        <v>463</v>
      </c>
      <c r="B134" s="40" t="s">
        <v>399</v>
      </c>
      <c r="C134" s="86"/>
      <c r="D134" s="66">
        <f>D135</f>
        <v>4410131.8600000003</v>
      </c>
      <c r="E134" s="66">
        <f t="shared" ref="E134:F134" si="56">E135</f>
        <v>4443457.79</v>
      </c>
      <c r="F134" s="66">
        <f t="shared" si="56"/>
        <v>4443457.79</v>
      </c>
      <c r="G134" s="13"/>
      <c r="H134" s="13"/>
      <c r="I134" s="13"/>
      <c r="J134" s="13"/>
    </row>
    <row r="135" spans="1:10" s="7" customFormat="1" ht="27" customHeight="1" x14ac:dyDescent="0.2">
      <c r="A135" s="63" t="s">
        <v>81</v>
      </c>
      <c r="B135" s="40" t="s">
        <v>399</v>
      </c>
      <c r="C135" s="86">
        <v>600</v>
      </c>
      <c r="D135" s="66">
        <f>D136</f>
        <v>4410131.8600000003</v>
      </c>
      <c r="E135" s="66">
        <f t="shared" ref="E135:F135" si="57">E136</f>
        <v>4443457.79</v>
      </c>
      <c r="F135" s="66">
        <f t="shared" si="57"/>
        <v>4443457.79</v>
      </c>
      <c r="G135" s="13"/>
      <c r="H135" s="13"/>
      <c r="I135" s="13"/>
      <c r="J135" s="13"/>
    </row>
    <row r="136" spans="1:10" s="7" customFormat="1" ht="17.25" customHeight="1" x14ac:dyDescent="0.2">
      <c r="A136" s="63" t="s">
        <v>49</v>
      </c>
      <c r="B136" s="40" t="s">
        <v>399</v>
      </c>
      <c r="C136" s="86">
        <v>610</v>
      </c>
      <c r="D136" s="66">
        <f>D137</f>
        <v>4410131.8600000003</v>
      </c>
      <c r="E136" s="66">
        <f t="shared" ref="E136:F136" si="58">E137</f>
        <v>4443457.79</v>
      </c>
      <c r="F136" s="66">
        <f t="shared" si="58"/>
        <v>4443457.79</v>
      </c>
      <c r="G136" s="13"/>
      <c r="H136" s="13"/>
      <c r="I136" s="13"/>
      <c r="J136" s="13"/>
    </row>
    <row r="137" spans="1:10" s="7" customFormat="1" ht="17.25" customHeight="1" x14ac:dyDescent="0.2">
      <c r="A137" s="63" t="s">
        <v>64</v>
      </c>
      <c r="B137" s="40" t="s">
        <v>399</v>
      </c>
      <c r="C137" s="86">
        <v>612</v>
      </c>
      <c r="D137" s="66">
        <f>4443457.79-33325.93</f>
        <v>4410131.8600000003</v>
      </c>
      <c r="E137" s="66">
        <f>5315495.72-872037.93</f>
        <v>4443457.79</v>
      </c>
      <c r="F137" s="66">
        <f>5315495.72-872037.93</f>
        <v>4443457.79</v>
      </c>
      <c r="G137" s="13"/>
      <c r="H137" s="13"/>
      <c r="I137" s="13"/>
      <c r="J137" s="13"/>
    </row>
    <row r="138" spans="1:10" s="4" customFormat="1" ht="75.75" customHeight="1" x14ac:dyDescent="0.2">
      <c r="A138" s="87" t="s">
        <v>357</v>
      </c>
      <c r="B138" s="88" t="s">
        <v>398</v>
      </c>
      <c r="C138" s="89"/>
      <c r="D138" s="45">
        <f t="shared" ref="D138:D139" si="59">D139</f>
        <v>66933216</v>
      </c>
      <c r="E138" s="45">
        <f t="shared" ref="E138:E139" si="60">E139</f>
        <v>65605176</v>
      </c>
      <c r="F138" s="45">
        <f t="shared" ref="F138:F139" si="61">F139</f>
        <v>64808352</v>
      </c>
      <c r="G138" s="17"/>
      <c r="H138" s="17"/>
      <c r="I138" s="17"/>
      <c r="J138" s="17"/>
    </row>
    <row r="139" spans="1:10" s="4" customFormat="1" ht="24" customHeight="1" x14ac:dyDescent="0.2">
      <c r="A139" s="87" t="s">
        <v>81</v>
      </c>
      <c r="B139" s="88" t="s">
        <v>398</v>
      </c>
      <c r="C139" s="89">
        <v>600</v>
      </c>
      <c r="D139" s="45">
        <f t="shared" si="59"/>
        <v>66933216</v>
      </c>
      <c r="E139" s="45">
        <f t="shared" si="60"/>
        <v>65605176</v>
      </c>
      <c r="F139" s="45">
        <f t="shared" si="61"/>
        <v>64808352</v>
      </c>
      <c r="G139" s="17"/>
      <c r="H139" s="17"/>
      <c r="I139" s="17"/>
      <c r="J139" s="17"/>
    </row>
    <row r="140" spans="1:10" s="4" customFormat="1" ht="12.75" x14ac:dyDescent="0.2">
      <c r="A140" s="87" t="s">
        <v>49</v>
      </c>
      <c r="B140" s="88" t="s">
        <v>398</v>
      </c>
      <c r="C140" s="89">
        <v>610</v>
      </c>
      <c r="D140" s="45">
        <f>D141</f>
        <v>66933216</v>
      </c>
      <c r="E140" s="45">
        <f t="shared" ref="E140:F140" si="62">E141</f>
        <v>65605176</v>
      </c>
      <c r="F140" s="45">
        <f t="shared" si="62"/>
        <v>64808352</v>
      </c>
      <c r="G140" s="17"/>
      <c r="H140" s="17"/>
      <c r="I140" s="17"/>
      <c r="J140" s="17"/>
    </row>
    <row r="141" spans="1:10" s="4" customFormat="1" ht="12.75" x14ac:dyDescent="0.2">
      <c r="A141" s="87" t="s">
        <v>64</v>
      </c>
      <c r="B141" s="88" t="s">
        <v>398</v>
      </c>
      <c r="C141" s="89">
        <v>612</v>
      </c>
      <c r="D141" s="45">
        <f>63586555.2+3346660.8</f>
        <v>66933216</v>
      </c>
      <c r="E141" s="45">
        <f>62577244.8+3027931.2</f>
        <v>65605176</v>
      </c>
      <c r="F141" s="45">
        <f>61820262+2988090</f>
        <v>64808352</v>
      </c>
      <c r="G141" s="17"/>
      <c r="H141" s="17"/>
      <c r="I141" s="17"/>
      <c r="J141" s="17"/>
    </row>
    <row r="142" spans="1:10" s="4" customFormat="1" ht="39.75" customHeight="1" x14ac:dyDescent="0.2">
      <c r="A142" s="76" t="s">
        <v>55</v>
      </c>
      <c r="B142" s="69" t="s">
        <v>56</v>
      </c>
      <c r="C142" s="70"/>
      <c r="D142" s="55">
        <f>D143+D147+D151+D155</f>
        <v>152603952.41</v>
      </c>
      <c r="E142" s="55">
        <f t="shared" ref="E142:F142" si="63">E143+E147+E151+E155</f>
        <v>163191987.17000002</v>
      </c>
      <c r="F142" s="55">
        <f t="shared" si="63"/>
        <v>167184801.73000002</v>
      </c>
      <c r="G142" s="17"/>
      <c r="H142" s="17"/>
      <c r="I142" s="17"/>
      <c r="J142" s="17"/>
    </row>
    <row r="143" spans="1:10" s="3" customFormat="1" ht="76.5" x14ac:dyDescent="0.2">
      <c r="A143" s="71" t="s">
        <v>356</v>
      </c>
      <c r="B143" s="40" t="s">
        <v>332</v>
      </c>
      <c r="C143" s="72"/>
      <c r="D143" s="45">
        <f>D145</f>
        <v>3716100</v>
      </c>
      <c r="E143" s="45">
        <f>E145</f>
        <v>5336668.03</v>
      </c>
      <c r="F143" s="45">
        <f>F145</f>
        <v>5550134.7400000002</v>
      </c>
      <c r="G143" s="13"/>
      <c r="H143" s="13"/>
      <c r="I143" s="13"/>
      <c r="J143" s="13"/>
    </row>
    <row r="144" spans="1:10" s="3" customFormat="1" ht="25.5" x14ac:dyDescent="0.2">
      <c r="A144" s="73" t="s">
        <v>81</v>
      </c>
      <c r="B144" s="40" t="s">
        <v>332</v>
      </c>
      <c r="C144" s="72">
        <v>600</v>
      </c>
      <c r="D144" s="45">
        <f t="shared" ref="D144:F145" si="64">D145</f>
        <v>3716100</v>
      </c>
      <c r="E144" s="45">
        <f t="shared" si="64"/>
        <v>5336668.03</v>
      </c>
      <c r="F144" s="45">
        <f t="shared" si="64"/>
        <v>5550134.7400000002</v>
      </c>
      <c r="G144" s="13"/>
      <c r="H144" s="13"/>
      <c r="I144" s="13"/>
      <c r="J144" s="13"/>
    </row>
    <row r="145" spans="1:10" s="3" customFormat="1" ht="12.75" x14ac:dyDescent="0.2">
      <c r="A145" s="73" t="s">
        <v>49</v>
      </c>
      <c r="B145" s="40" t="s">
        <v>332</v>
      </c>
      <c r="C145" s="72">
        <v>610</v>
      </c>
      <c r="D145" s="45">
        <f t="shared" si="64"/>
        <v>3716100</v>
      </c>
      <c r="E145" s="45">
        <f t="shared" si="64"/>
        <v>5336668.03</v>
      </c>
      <c r="F145" s="45">
        <f t="shared" si="64"/>
        <v>5550134.7400000002</v>
      </c>
      <c r="G145" s="13"/>
      <c r="H145" s="13"/>
      <c r="I145" s="13"/>
      <c r="J145" s="13"/>
    </row>
    <row r="146" spans="1:10" s="3" customFormat="1" ht="12.75" x14ac:dyDescent="0.2">
      <c r="A146" s="74" t="s">
        <v>2</v>
      </c>
      <c r="B146" s="40" t="s">
        <v>332</v>
      </c>
      <c r="C146" s="72">
        <v>612</v>
      </c>
      <c r="D146" s="45">
        <f>5401485.87-1685385.87</f>
        <v>3716100</v>
      </c>
      <c r="E146" s="45">
        <v>5336668.03</v>
      </c>
      <c r="F146" s="45">
        <v>5550134.7400000002</v>
      </c>
      <c r="G146" s="13"/>
      <c r="H146" s="13"/>
      <c r="I146" s="13"/>
      <c r="J146" s="13"/>
    </row>
    <row r="147" spans="1:10" s="3" customFormat="1" ht="12.75" x14ac:dyDescent="0.2">
      <c r="A147" s="52" t="s">
        <v>50</v>
      </c>
      <c r="B147" s="40" t="s">
        <v>333</v>
      </c>
      <c r="C147" s="72"/>
      <c r="D147" s="45">
        <f>D149</f>
        <v>89290738</v>
      </c>
      <c r="E147" s="45">
        <f>E149</f>
        <v>94633270.120000005</v>
      </c>
      <c r="F147" s="45">
        <f>F149</f>
        <v>98599243.260000005</v>
      </c>
      <c r="G147" s="13"/>
      <c r="H147" s="13"/>
      <c r="I147" s="13"/>
      <c r="J147" s="13"/>
    </row>
    <row r="148" spans="1:10" s="3" customFormat="1" ht="25.5" x14ac:dyDescent="0.2">
      <c r="A148" s="73" t="s">
        <v>81</v>
      </c>
      <c r="B148" s="40" t="s">
        <v>333</v>
      </c>
      <c r="C148" s="72">
        <v>600</v>
      </c>
      <c r="D148" s="45">
        <f>D149</f>
        <v>89290738</v>
      </c>
      <c r="E148" s="45">
        <f t="shared" ref="E148:F149" si="65">E149</f>
        <v>94633270.120000005</v>
      </c>
      <c r="F148" s="45">
        <f t="shared" si="65"/>
        <v>98599243.260000005</v>
      </c>
      <c r="G148" s="13"/>
      <c r="H148" s="13"/>
      <c r="I148" s="13"/>
      <c r="J148" s="13"/>
    </row>
    <row r="149" spans="1:10" s="3" customFormat="1" ht="12.75" x14ac:dyDescent="0.2">
      <c r="A149" s="73" t="s">
        <v>49</v>
      </c>
      <c r="B149" s="40" t="s">
        <v>333</v>
      </c>
      <c r="C149" s="72">
        <v>610</v>
      </c>
      <c r="D149" s="45">
        <f>D150</f>
        <v>89290738</v>
      </c>
      <c r="E149" s="45">
        <f t="shared" si="65"/>
        <v>94633270.120000005</v>
      </c>
      <c r="F149" s="45">
        <f t="shared" si="65"/>
        <v>98599243.260000005</v>
      </c>
      <c r="G149" s="13"/>
      <c r="H149" s="13"/>
      <c r="I149" s="13"/>
      <c r="J149" s="13"/>
    </row>
    <row r="150" spans="1:10" s="3" customFormat="1" ht="65.25" customHeight="1" x14ac:dyDescent="0.2">
      <c r="A150" s="73" t="s">
        <v>335</v>
      </c>
      <c r="B150" s="40" t="s">
        <v>333</v>
      </c>
      <c r="C150" s="72">
        <v>614</v>
      </c>
      <c r="D150" s="45">
        <f>87471058+1819680</f>
        <v>89290738</v>
      </c>
      <c r="E150" s="45">
        <v>94633270.120000005</v>
      </c>
      <c r="F150" s="45">
        <v>98599243.260000005</v>
      </c>
      <c r="G150" s="13"/>
      <c r="H150" s="13"/>
      <c r="I150" s="13"/>
      <c r="J150" s="13"/>
    </row>
    <row r="151" spans="1:10" s="3" customFormat="1" ht="25.5" x14ac:dyDescent="0.2">
      <c r="A151" s="52" t="s">
        <v>51</v>
      </c>
      <c r="B151" s="39" t="s">
        <v>26</v>
      </c>
      <c r="C151" s="72"/>
      <c r="D151" s="45">
        <f>D153</f>
        <v>20281307.41</v>
      </c>
      <c r="E151" s="45">
        <f>E153</f>
        <v>23523159.02</v>
      </c>
      <c r="F151" s="45">
        <f>F153</f>
        <v>23563843.73</v>
      </c>
      <c r="G151" s="13"/>
      <c r="H151" s="13"/>
      <c r="I151" s="13"/>
      <c r="J151" s="13"/>
    </row>
    <row r="152" spans="1:10" s="3" customFormat="1" ht="25.5" x14ac:dyDescent="0.2">
      <c r="A152" s="73" t="s">
        <v>81</v>
      </c>
      <c r="B152" s="39" t="s">
        <v>26</v>
      </c>
      <c r="C152" s="72">
        <v>600</v>
      </c>
      <c r="D152" s="45">
        <f t="shared" ref="D152:F153" si="66">D153</f>
        <v>20281307.41</v>
      </c>
      <c r="E152" s="45">
        <f t="shared" si="66"/>
        <v>23523159.02</v>
      </c>
      <c r="F152" s="45">
        <f t="shared" si="66"/>
        <v>23563843.73</v>
      </c>
      <c r="G152" s="13"/>
      <c r="H152" s="13"/>
      <c r="I152" s="13"/>
      <c r="J152" s="13"/>
    </row>
    <row r="153" spans="1:10" s="3" customFormat="1" ht="12.75" x14ac:dyDescent="0.2">
      <c r="A153" s="73" t="s">
        <v>49</v>
      </c>
      <c r="B153" s="39" t="s">
        <v>26</v>
      </c>
      <c r="C153" s="72">
        <v>610</v>
      </c>
      <c r="D153" s="45">
        <f>D154</f>
        <v>20281307.41</v>
      </c>
      <c r="E153" s="45">
        <f t="shared" si="66"/>
        <v>23523159.02</v>
      </c>
      <c r="F153" s="45">
        <f t="shared" si="66"/>
        <v>23563843.73</v>
      </c>
      <c r="G153" s="13"/>
      <c r="H153" s="13"/>
      <c r="I153" s="13"/>
      <c r="J153" s="13"/>
    </row>
    <row r="154" spans="1:10" s="3" customFormat="1" ht="63.75" x14ac:dyDescent="0.2">
      <c r="A154" s="73" t="s">
        <v>335</v>
      </c>
      <c r="B154" s="39" t="s">
        <v>26</v>
      </c>
      <c r="C154" s="72">
        <v>614</v>
      </c>
      <c r="D154" s="45">
        <v>20281307.41</v>
      </c>
      <c r="E154" s="45">
        <v>23523159.02</v>
      </c>
      <c r="F154" s="45">
        <v>23563843.73</v>
      </c>
      <c r="G154" s="13"/>
      <c r="H154" s="13"/>
      <c r="I154" s="13"/>
      <c r="J154" s="13"/>
    </row>
    <row r="155" spans="1:10" s="3" customFormat="1" ht="48.75" customHeight="1" x14ac:dyDescent="0.2">
      <c r="A155" s="52" t="s">
        <v>324</v>
      </c>
      <c r="B155" s="40" t="s">
        <v>243</v>
      </c>
      <c r="C155" s="62"/>
      <c r="D155" s="45">
        <f>D156+D160</f>
        <v>39315807</v>
      </c>
      <c r="E155" s="45">
        <f>E156+E160</f>
        <v>39698890</v>
      </c>
      <c r="F155" s="45">
        <f>F156+F160</f>
        <v>39471580</v>
      </c>
      <c r="G155" s="13"/>
      <c r="H155" s="13"/>
      <c r="I155" s="13"/>
      <c r="J155" s="13"/>
    </row>
    <row r="156" spans="1:10" s="3" customFormat="1" ht="12.75" x14ac:dyDescent="0.2">
      <c r="A156" s="52" t="s">
        <v>50</v>
      </c>
      <c r="B156" s="40" t="s">
        <v>334</v>
      </c>
      <c r="C156" s="62"/>
      <c r="D156" s="45">
        <f>D158</f>
        <v>31556434</v>
      </c>
      <c r="E156" s="45">
        <f>E158</f>
        <v>31807162.879999999</v>
      </c>
      <c r="F156" s="45">
        <f>F158</f>
        <v>31625039.739999998</v>
      </c>
      <c r="G156" s="13"/>
      <c r="H156" s="13"/>
      <c r="I156" s="13"/>
      <c r="J156" s="13"/>
    </row>
    <row r="157" spans="1:10" s="3" customFormat="1" ht="25.5" x14ac:dyDescent="0.2">
      <c r="A157" s="73" t="s">
        <v>81</v>
      </c>
      <c r="B157" s="40" t="s">
        <v>334</v>
      </c>
      <c r="C157" s="62">
        <v>600</v>
      </c>
      <c r="D157" s="45">
        <f t="shared" ref="D157:F158" si="67">D158</f>
        <v>31556434</v>
      </c>
      <c r="E157" s="45">
        <f t="shared" si="67"/>
        <v>31807162.879999999</v>
      </c>
      <c r="F157" s="45">
        <f t="shared" si="67"/>
        <v>31625039.739999998</v>
      </c>
      <c r="G157" s="13"/>
      <c r="H157" s="13"/>
      <c r="I157" s="13"/>
      <c r="J157" s="13"/>
    </row>
    <row r="158" spans="1:10" s="3" customFormat="1" ht="12.75" x14ac:dyDescent="0.2">
      <c r="A158" s="73" t="s">
        <v>49</v>
      </c>
      <c r="B158" s="40" t="s">
        <v>334</v>
      </c>
      <c r="C158" s="62">
        <v>610</v>
      </c>
      <c r="D158" s="45">
        <f t="shared" si="67"/>
        <v>31556434</v>
      </c>
      <c r="E158" s="45">
        <f t="shared" si="67"/>
        <v>31807162.879999999</v>
      </c>
      <c r="F158" s="45">
        <f t="shared" si="67"/>
        <v>31625039.739999998</v>
      </c>
      <c r="G158" s="13"/>
      <c r="H158" s="13"/>
      <c r="I158" s="13"/>
      <c r="J158" s="13"/>
    </row>
    <row r="159" spans="1:10" s="3" customFormat="1" ht="75" customHeight="1" x14ac:dyDescent="0.2">
      <c r="A159" s="52" t="s">
        <v>335</v>
      </c>
      <c r="B159" s="40" t="s">
        <v>334</v>
      </c>
      <c r="C159" s="62">
        <v>614</v>
      </c>
      <c r="D159" s="45">
        <f>31273717+282717</f>
        <v>31556434</v>
      </c>
      <c r="E159" s="45">
        <v>31807162.879999999</v>
      </c>
      <c r="F159" s="45">
        <v>31625039.739999998</v>
      </c>
      <c r="G159" s="13"/>
      <c r="H159" s="13"/>
      <c r="I159" s="13"/>
      <c r="J159" s="13"/>
    </row>
    <row r="160" spans="1:10" s="2" customFormat="1" ht="25.5" x14ac:dyDescent="0.2">
      <c r="A160" s="52" t="s">
        <v>51</v>
      </c>
      <c r="B160" s="90" t="s">
        <v>85</v>
      </c>
      <c r="C160" s="62"/>
      <c r="D160" s="45">
        <f>D161+D169</f>
        <v>7759373</v>
      </c>
      <c r="E160" s="45">
        <f>E161+E169</f>
        <v>7891727.1200000001</v>
      </c>
      <c r="F160" s="45">
        <f>F161+F169</f>
        <v>7846540.2600000007</v>
      </c>
      <c r="G160" s="16"/>
      <c r="H160" s="16"/>
      <c r="I160" s="16"/>
      <c r="J160" s="16"/>
    </row>
    <row r="161" spans="1:10" s="2" customFormat="1" ht="25.5" x14ac:dyDescent="0.2">
      <c r="A161" s="73" t="s">
        <v>81</v>
      </c>
      <c r="B161" s="90" t="s">
        <v>85</v>
      </c>
      <c r="C161" s="91">
        <v>600</v>
      </c>
      <c r="D161" s="45">
        <f>D162+D165+D167</f>
        <v>7565874.4400000004</v>
      </c>
      <c r="E161" s="45">
        <f>E162+E165+E167</f>
        <v>7694941.5700000003</v>
      </c>
      <c r="F161" s="45">
        <f>F162+F165+F167</f>
        <v>7650956.8600000003</v>
      </c>
      <c r="G161" s="16"/>
      <c r="H161" s="16"/>
      <c r="I161" s="16"/>
      <c r="J161" s="16"/>
    </row>
    <row r="162" spans="1:10" s="2" customFormat="1" ht="18" customHeight="1" x14ac:dyDescent="0.2">
      <c r="A162" s="60" t="s">
        <v>49</v>
      </c>
      <c r="B162" s="90" t="s">
        <v>85</v>
      </c>
      <c r="C162" s="91">
        <v>610</v>
      </c>
      <c r="D162" s="45">
        <f>D163+D164</f>
        <v>7179474.4400000004</v>
      </c>
      <c r="E162" s="45">
        <f>E163+E164</f>
        <v>7301941.5700000003</v>
      </c>
      <c r="F162" s="45">
        <f>F163+F164</f>
        <v>7260156.8600000003</v>
      </c>
      <c r="G162" s="16"/>
      <c r="H162" s="16"/>
      <c r="I162" s="16"/>
      <c r="J162" s="16"/>
    </row>
    <row r="163" spans="1:10" s="2" customFormat="1" ht="74.25" customHeight="1" x14ac:dyDescent="0.2">
      <c r="A163" s="52" t="s">
        <v>335</v>
      </c>
      <c r="B163" s="90" t="s">
        <v>85</v>
      </c>
      <c r="C163" s="91">
        <v>614</v>
      </c>
      <c r="D163" s="45">
        <v>6986274.4400000004</v>
      </c>
      <c r="E163" s="45">
        <v>7105441.5700000003</v>
      </c>
      <c r="F163" s="45">
        <v>7064756.8600000003</v>
      </c>
      <c r="G163" s="16"/>
      <c r="H163" s="16"/>
      <c r="I163" s="16"/>
      <c r="J163" s="16"/>
    </row>
    <row r="164" spans="1:10" s="2" customFormat="1" ht="63.75" x14ac:dyDescent="0.2">
      <c r="A164" s="52" t="s">
        <v>340</v>
      </c>
      <c r="B164" s="90" t="s">
        <v>85</v>
      </c>
      <c r="C164" s="91">
        <v>615</v>
      </c>
      <c r="D164" s="45">
        <v>193200</v>
      </c>
      <c r="E164" s="45">
        <v>196500</v>
      </c>
      <c r="F164" s="45">
        <v>195400</v>
      </c>
      <c r="G164" s="16"/>
      <c r="H164" s="16"/>
      <c r="I164" s="16"/>
      <c r="J164" s="16"/>
    </row>
    <row r="165" spans="1:10" s="2" customFormat="1" ht="12.75" x14ac:dyDescent="0.2">
      <c r="A165" s="83" t="s">
        <v>87</v>
      </c>
      <c r="B165" s="40" t="s">
        <v>85</v>
      </c>
      <c r="C165" s="62">
        <v>620</v>
      </c>
      <c r="D165" s="45">
        <f>D166</f>
        <v>193200</v>
      </c>
      <c r="E165" s="45">
        <f>E166</f>
        <v>196500</v>
      </c>
      <c r="F165" s="45">
        <f>F166</f>
        <v>195400</v>
      </c>
      <c r="G165" s="16"/>
      <c r="H165" s="16"/>
      <c r="I165" s="16"/>
      <c r="J165" s="16"/>
    </row>
    <row r="166" spans="1:10" s="2" customFormat="1" ht="81.75" customHeight="1" x14ac:dyDescent="0.2">
      <c r="A166" s="52" t="s">
        <v>341</v>
      </c>
      <c r="B166" s="40" t="s">
        <v>85</v>
      </c>
      <c r="C166" s="62">
        <v>625</v>
      </c>
      <c r="D166" s="45">
        <v>193200</v>
      </c>
      <c r="E166" s="45">
        <v>196500</v>
      </c>
      <c r="F166" s="45">
        <v>195400</v>
      </c>
      <c r="G166" s="16"/>
      <c r="H166" s="16"/>
      <c r="I166" s="16"/>
      <c r="J166" s="16"/>
    </row>
    <row r="167" spans="1:10" s="2" customFormat="1" ht="25.5" x14ac:dyDescent="0.2">
      <c r="A167" s="83" t="s">
        <v>88</v>
      </c>
      <c r="B167" s="40" t="s">
        <v>85</v>
      </c>
      <c r="C167" s="62">
        <v>630</v>
      </c>
      <c r="D167" s="45">
        <f>D168</f>
        <v>193200</v>
      </c>
      <c r="E167" s="45">
        <f>E168</f>
        <v>196500</v>
      </c>
      <c r="F167" s="45">
        <f>F168</f>
        <v>195400</v>
      </c>
      <c r="G167" s="16"/>
      <c r="H167" s="16"/>
      <c r="I167" s="16"/>
      <c r="J167" s="16"/>
    </row>
    <row r="168" spans="1:10" s="2" customFormat="1" ht="37.5" customHeight="1" x14ac:dyDescent="0.2">
      <c r="A168" s="52" t="s">
        <v>342</v>
      </c>
      <c r="B168" s="40" t="s">
        <v>85</v>
      </c>
      <c r="C168" s="62">
        <v>635</v>
      </c>
      <c r="D168" s="45">
        <v>193200</v>
      </c>
      <c r="E168" s="45">
        <v>196500</v>
      </c>
      <c r="F168" s="45">
        <v>195400</v>
      </c>
      <c r="G168" s="16"/>
      <c r="H168" s="16"/>
      <c r="I168" s="16"/>
      <c r="J168" s="16"/>
    </row>
    <row r="169" spans="1:10" s="2" customFormat="1" ht="12.75" x14ac:dyDescent="0.2">
      <c r="A169" s="92" t="s">
        <v>83</v>
      </c>
      <c r="B169" s="40" t="s">
        <v>85</v>
      </c>
      <c r="C169" s="62">
        <v>800</v>
      </c>
      <c r="D169" s="45">
        <f t="shared" ref="D169:F170" si="68">D170</f>
        <v>193498.56</v>
      </c>
      <c r="E169" s="45">
        <f t="shared" si="68"/>
        <v>196785.55</v>
      </c>
      <c r="F169" s="45">
        <f t="shared" si="68"/>
        <v>195583.4</v>
      </c>
      <c r="G169" s="16"/>
      <c r="H169" s="16"/>
      <c r="I169" s="16"/>
      <c r="J169" s="16"/>
    </row>
    <row r="170" spans="1:10" s="2" customFormat="1" ht="45.75" customHeight="1" x14ac:dyDescent="0.2">
      <c r="A170" s="83" t="s">
        <v>90</v>
      </c>
      <c r="B170" s="40" t="s">
        <v>85</v>
      </c>
      <c r="C170" s="62">
        <v>810</v>
      </c>
      <c r="D170" s="45">
        <f t="shared" si="68"/>
        <v>193498.56</v>
      </c>
      <c r="E170" s="45">
        <f t="shared" si="68"/>
        <v>196785.55</v>
      </c>
      <c r="F170" s="45">
        <f t="shared" si="68"/>
        <v>195583.4</v>
      </c>
      <c r="G170" s="16"/>
      <c r="H170" s="16"/>
      <c r="I170" s="16"/>
      <c r="J170" s="16"/>
    </row>
    <row r="171" spans="1:10" s="2" customFormat="1" ht="59.25" customHeight="1" x14ac:dyDescent="0.2">
      <c r="A171" s="52" t="s">
        <v>342</v>
      </c>
      <c r="B171" s="40" t="s">
        <v>85</v>
      </c>
      <c r="C171" s="62">
        <v>816</v>
      </c>
      <c r="D171" s="45">
        <v>193498.56</v>
      </c>
      <c r="E171" s="45">
        <v>196785.55</v>
      </c>
      <c r="F171" s="45">
        <v>195583.4</v>
      </c>
      <c r="G171" s="16"/>
      <c r="H171" s="16"/>
      <c r="I171" s="16"/>
      <c r="J171" s="16"/>
    </row>
    <row r="172" spans="1:10" s="4" customFormat="1" ht="36.75" customHeight="1" x14ac:dyDescent="0.2">
      <c r="A172" s="93" t="s">
        <v>58</v>
      </c>
      <c r="B172" s="69" t="s">
        <v>29</v>
      </c>
      <c r="C172" s="70"/>
      <c r="D172" s="55">
        <f>D173+D184</f>
        <v>15063627.84</v>
      </c>
      <c r="E172" s="55">
        <f>E173+E184</f>
        <v>15075055.84</v>
      </c>
      <c r="F172" s="55">
        <f>F173+F184</f>
        <v>15212825.119999999</v>
      </c>
      <c r="G172" s="17"/>
      <c r="H172" s="17"/>
      <c r="I172" s="17"/>
      <c r="J172" s="17"/>
    </row>
    <row r="173" spans="1:10" s="3" customFormat="1" ht="25.5" x14ac:dyDescent="0.2">
      <c r="A173" s="42" t="s">
        <v>60</v>
      </c>
      <c r="B173" s="39" t="s">
        <v>30</v>
      </c>
      <c r="C173" s="40"/>
      <c r="D173" s="45">
        <f>D175+D180+D183</f>
        <v>14777927.84</v>
      </c>
      <c r="E173" s="45">
        <f>E175+E180+E183</f>
        <v>14777927.84</v>
      </c>
      <c r="F173" s="45">
        <f>F175+F180+F183</f>
        <v>14915697.119999999</v>
      </c>
      <c r="G173" s="13"/>
      <c r="H173" s="13"/>
      <c r="I173" s="13"/>
      <c r="J173" s="13"/>
    </row>
    <row r="174" spans="1:10" s="3" customFormat="1" ht="51" x14ac:dyDescent="0.2">
      <c r="A174" s="42" t="s">
        <v>82</v>
      </c>
      <c r="B174" s="39" t="s">
        <v>30</v>
      </c>
      <c r="C174" s="72">
        <v>100</v>
      </c>
      <c r="D174" s="45">
        <f>D175</f>
        <v>14067927.84</v>
      </c>
      <c r="E174" s="45">
        <f>E175</f>
        <v>14067927.84</v>
      </c>
      <c r="F174" s="45">
        <f>F175</f>
        <v>14205697.119999999</v>
      </c>
      <c r="G174" s="13"/>
      <c r="H174" s="13"/>
      <c r="I174" s="13"/>
      <c r="J174" s="13"/>
    </row>
    <row r="175" spans="1:10" s="3" customFormat="1" ht="25.5" x14ac:dyDescent="0.2">
      <c r="A175" s="42" t="s">
        <v>61</v>
      </c>
      <c r="B175" s="39" t="s">
        <v>30</v>
      </c>
      <c r="C175" s="72">
        <v>120</v>
      </c>
      <c r="D175" s="45">
        <f>D176+D177+D178</f>
        <v>14067927.84</v>
      </c>
      <c r="E175" s="45">
        <f>E176+E177+E178</f>
        <v>14067927.84</v>
      </c>
      <c r="F175" s="45">
        <f>F176+F177+F178</f>
        <v>14205697.119999999</v>
      </c>
      <c r="G175" s="13"/>
      <c r="H175" s="13"/>
      <c r="I175" s="13"/>
      <c r="J175" s="13"/>
    </row>
    <row r="176" spans="1:10" s="3" customFormat="1" ht="12.75" x14ac:dyDescent="0.2">
      <c r="A176" s="92" t="s">
        <v>7</v>
      </c>
      <c r="B176" s="39" t="s">
        <v>30</v>
      </c>
      <c r="C176" s="72">
        <v>121</v>
      </c>
      <c r="D176" s="45">
        <v>10581357.789999999</v>
      </c>
      <c r="E176" s="45">
        <v>10581357.789999999</v>
      </c>
      <c r="F176" s="45">
        <v>10687171.369999999</v>
      </c>
      <c r="G176" s="13"/>
      <c r="H176" s="13"/>
      <c r="I176" s="13"/>
      <c r="J176" s="13"/>
    </row>
    <row r="177" spans="1:10" s="3" customFormat="1" ht="36.75" customHeight="1" x14ac:dyDescent="0.2">
      <c r="A177" s="92" t="s">
        <v>5</v>
      </c>
      <c r="B177" s="39" t="s">
        <v>30</v>
      </c>
      <c r="C177" s="72">
        <v>122</v>
      </c>
      <c r="D177" s="45">
        <v>291000</v>
      </c>
      <c r="E177" s="45">
        <v>291000</v>
      </c>
      <c r="F177" s="45">
        <v>291000</v>
      </c>
      <c r="G177" s="13"/>
      <c r="H177" s="13"/>
      <c r="I177" s="13"/>
      <c r="J177" s="13"/>
    </row>
    <row r="178" spans="1:10" s="3" customFormat="1" ht="50.25" customHeight="1" x14ac:dyDescent="0.2">
      <c r="A178" s="92" t="s">
        <v>6</v>
      </c>
      <c r="B178" s="39" t="s">
        <v>30</v>
      </c>
      <c r="C178" s="72">
        <v>129</v>
      </c>
      <c r="D178" s="45">
        <v>3195570.05</v>
      </c>
      <c r="E178" s="45">
        <v>3195570.05</v>
      </c>
      <c r="F178" s="45">
        <v>3227525.75</v>
      </c>
      <c r="G178" s="13"/>
      <c r="H178" s="13"/>
      <c r="I178" s="13"/>
      <c r="J178" s="13"/>
    </row>
    <row r="179" spans="1:10" s="3" customFormat="1" ht="25.5" x14ac:dyDescent="0.2">
      <c r="A179" s="42" t="s">
        <v>80</v>
      </c>
      <c r="B179" s="39" t="s">
        <v>30</v>
      </c>
      <c r="C179" s="72">
        <v>200</v>
      </c>
      <c r="D179" s="45">
        <f t="shared" ref="D179:F180" si="69">D180</f>
        <v>700000</v>
      </c>
      <c r="E179" s="45">
        <f t="shared" si="69"/>
        <v>700000</v>
      </c>
      <c r="F179" s="45">
        <f t="shared" si="69"/>
        <v>700000</v>
      </c>
      <c r="G179" s="13"/>
      <c r="H179" s="13"/>
      <c r="I179" s="13"/>
      <c r="J179" s="13"/>
    </row>
    <row r="180" spans="1:10" s="3" customFormat="1" ht="25.5" x14ac:dyDescent="0.2">
      <c r="A180" s="42" t="s">
        <v>62</v>
      </c>
      <c r="B180" s="39" t="s">
        <v>30</v>
      </c>
      <c r="C180" s="72">
        <v>240</v>
      </c>
      <c r="D180" s="45">
        <f t="shared" si="69"/>
        <v>700000</v>
      </c>
      <c r="E180" s="45">
        <f t="shared" si="69"/>
        <v>700000</v>
      </c>
      <c r="F180" s="45">
        <f t="shared" si="69"/>
        <v>700000</v>
      </c>
      <c r="G180" s="13"/>
      <c r="H180" s="13"/>
      <c r="I180" s="13"/>
      <c r="J180" s="13"/>
    </row>
    <row r="181" spans="1:10" s="3" customFormat="1" ht="12.75" x14ac:dyDescent="0.2">
      <c r="A181" s="94" t="s">
        <v>21</v>
      </c>
      <c r="B181" s="39" t="s">
        <v>30</v>
      </c>
      <c r="C181" s="72">
        <v>244</v>
      </c>
      <c r="D181" s="45">
        <v>700000</v>
      </c>
      <c r="E181" s="45">
        <v>700000</v>
      </c>
      <c r="F181" s="45">
        <v>700000</v>
      </c>
      <c r="G181" s="13"/>
      <c r="H181" s="13"/>
      <c r="I181" s="13"/>
      <c r="J181" s="13"/>
    </row>
    <row r="182" spans="1:10" s="3" customFormat="1" ht="12.75" x14ac:dyDescent="0.2">
      <c r="A182" s="94" t="s">
        <v>83</v>
      </c>
      <c r="B182" s="39" t="s">
        <v>30</v>
      </c>
      <c r="C182" s="72">
        <v>800</v>
      </c>
      <c r="D182" s="45">
        <f>D183</f>
        <v>10000</v>
      </c>
      <c r="E182" s="45">
        <f>E183</f>
        <v>10000</v>
      </c>
      <c r="F182" s="45">
        <f>F183</f>
        <v>10000</v>
      </c>
      <c r="G182" s="13"/>
      <c r="H182" s="13"/>
      <c r="I182" s="13"/>
      <c r="J182" s="13"/>
    </row>
    <row r="183" spans="1:10" s="3" customFormat="1" ht="21.75" customHeight="1" x14ac:dyDescent="0.2">
      <c r="A183" s="94" t="s">
        <v>159</v>
      </c>
      <c r="B183" s="39" t="s">
        <v>30</v>
      </c>
      <c r="C183" s="72">
        <v>850</v>
      </c>
      <c r="D183" s="45">
        <v>10000</v>
      </c>
      <c r="E183" s="45">
        <v>10000</v>
      </c>
      <c r="F183" s="45">
        <v>10000</v>
      </c>
      <c r="G183" s="13"/>
      <c r="H183" s="13"/>
      <c r="I183" s="13"/>
      <c r="J183" s="13"/>
    </row>
    <row r="184" spans="1:10" s="3" customFormat="1" ht="12.75" x14ac:dyDescent="0.2">
      <c r="A184" s="94" t="s">
        <v>53</v>
      </c>
      <c r="B184" s="39" t="s">
        <v>109</v>
      </c>
      <c r="C184" s="72"/>
      <c r="D184" s="45">
        <f>D186+D189</f>
        <v>285700</v>
      </c>
      <c r="E184" s="45">
        <f>E186+E189</f>
        <v>297128</v>
      </c>
      <c r="F184" s="45">
        <f>F186+F189</f>
        <v>297128</v>
      </c>
      <c r="G184" s="13"/>
      <c r="H184" s="13"/>
      <c r="I184" s="13"/>
      <c r="J184" s="13"/>
    </row>
    <row r="185" spans="1:10" s="3" customFormat="1" ht="51" x14ac:dyDescent="0.2">
      <c r="A185" s="94" t="s">
        <v>82</v>
      </c>
      <c r="B185" s="39" t="s">
        <v>109</v>
      </c>
      <c r="C185" s="72">
        <v>100</v>
      </c>
      <c r="D185" s="45">
        <f>D186</f>
        <v>112200</v>
      </c>
      <c r="E185" s="45">
        <f t="shared" ref="D185:F186" si="70">E186</f>
        <v>116688</v>
      </c>
      <c r="F185" s="45">
        <f t="shared" si="70"/>
        <v>116688</v>
      </c>
      <c r="G185" s="13"/>
      <c r="H185" s="13"/>
      <c r="I185" s="13"/>
      <c r="J185" s="13"/>
    </row>
    <row r="186" spans="1:10" s="3" customFormat="1" ht="25.5" x14ac:dyDescent="0.2">
      <c r="A186" s="94" t="s">
        <v>63</v>
      </c>
      <c r="B186" s="39" t="s">
        <v>109</v>
      </c>
      <c r="C186" s="72">
        <v>120</v>
      </c>
      <c r="D186" s="45">
        <f t="shared" si="70"/>
        <v>112200</v>
      </c>
      <c r="E186" s="45">
        <f t="shared" si="70"/>
        <v>116688</v>
      </c>
      <c r="F186" s="45">
        <f t="shared" si="70"/>
        <v>116688</v>
      </c>
      <c r="G186" s="13"/>
      <c r="H186" s="13"/>
      <c r="I186" s="13"/>
      <c r="J186" s="13"/>
    </row>
    <row r="187" spans="1:10" s="3" customFormat="1" ht="38.25" x14ac:dyDescent="0.2">
      <c r="A187" s="94" t="s">
        <v>20</v>
      </c>
      <c r="B187" s="39" t="s">
        <v>109</v>
      </c>
      <c r="C187" s="72">
        <v>123</v>
      </c>
      <c r="D187" s="66">
        <v>112200</v>
      </c>
      <c r="E187" s="66">
        <v>116688</v>
      </c>
      <c r="F187" s="66">
        <v>116688</v>
      </c>
      <c r="G187" s="13"/>
      <c r="H187" s="13"/>
      <c r="I187" s="13"/>
      <c r="J187" s="13"/>
    </row>
    <row r="188" spans="1:10" s="3" customFormat="1" ht="25.5" x14ac:dyDescent="0.2">
      <c r="A188" s="42" t="s">
        <v>80</v>
      </c>
      <c r="B188" s="39" t="s">
        <v>109</v>
      </c>
      <c r="C188" s="72">
        <v>200</v>
      </c>
      <c r="D188" s="45">
        <f t="shared" ref="D188:F189" si="71">D189</f>
        <v>173500</v>
      </c>
      <c r="E188" s="45">
        <f t="shared" si="71"/>
        <v>180440</v>
      </c>
      <c r="F188" s="45">
        <f t="shared" si="71"/>
        <v>180440</v>
      </c>
      <c r="G188" s="13"/>
      <c r="H188" s="13"/>
      <c r="I188" s="13"/>
      <c r="J188" s="13"/>
    </row>
    <row r="189" spans="1:10" s="3" customFormat="1" ht="25.5" x14ac:dyDescent="0.2">
      <c r="A189" s="42" t="s">
        <v>62</v>
      </c>
      <c r="B189" s="39" t="s">
        <v>109</v>
      </c>
      <c r="C189" s="72">
        <v>240</v>
      </c>
      <c r="D189" s="45">
        <f t="shared" si="71"/>
        <v>173500</v>
      </c>
      <c r="E189" s="45">
        <f t="shared" si="71"/>
        <v>180440</v>
      </c>
      <c r="F189" s="45">
        <f t="shared" si="71"/>
        <v>180440</v>
      </c>
      <c r="G189" s="13"/>
      <c r="H189" s="13"/>
      <c r="I189" s="13"/>
      <c r="J189" s="13"/>
    </row>
    <row r="190" spans="1:10" s="3" customFormat="1" ht="12.75" x14ac:dyDescent="0.2">
      <c r="A190" s="92" t="s">
        <v>21</v>
      </c>
      <c r="B190" s="39" t="s">
        <v>109</v>
      </c>
      <c r="C190" s="72">
        <v>244</v>
      </c>
      <c r="D190" s="45">
        <v>173500</v>
      </c>
      <c r="E190" s="45">
        <v>180440</v>
      </c>
      <c r="F190" s="45">
        <v>180440</v>
      </c>
      <c r="G190" s="13"/>
      <c r="H190" s="13"/>
      <c r="I190" s="13"/>
      <c r="J190" s="13"/>
    </row>
    <row r="191" spans="1:10" s="4" customFormat="1" ht="37.5" customHeight="1" x14ac:dyDescent="0.2">
      <c r="A191" s="76" t="s">
        <v>57</v>
      </c>
      <c r="B191" s="69" t="s">
        <v>27</v>
      </c>
      <c r="C191" s="95"/>
      <c r="D191" s="96">
        <f>D205+D209+D201+D192+D197</f>
        <v>20292222.399999999</v>
      </c>
      <c r="E191" s="96">
        <f t="shared" ref="E191:F191" si="72">E205+E209+E201+E192+E197</f>
        <v>4833476.18</v>
      </c>
      <c r="F191" s="96">
        <f t="shared" si="72"/>
        <v>4931391.16</v>
      </c>
      <c r="G191" s="17"/>
      <c r="H191" s="17"/>
      <c r="I191" s="17"/>
      <c r="J191" s="17"/>
    </row>
    <row r="192" spans="1:10" s="3" customFormat="1" ht="89.25" customHeight="1" x14ac:dyDescent="0.2">
      <c r="A192" s="71" t="s">
        <v>467</v>
      </c>
      <c r="B192" s="39" t="s">
        <v>436</v>
      </c>
      <c r="C192" s="40"/>
      <c r="D192" s="41">
        <f t="shared" ref="D192:D193" si="73">D193</f>
        <v>3144029.11</v>
      </c>
      <c r="E192" s="41">
        <f t="shared" ref="E192:E193" si="74">E193</f>
        <v>0</v>
      </c>
      <c r="F192" s="41">
        <f t="shared" ref="F192:F193" si="75">F193</f>
        <v>0</v>
      </c>
      <c r="G192" s="13"/>
      <c r="H192" s="13"/>
      <c r="I192" s="13"/>
      <c r="J192" s="13"/>
    </row>
    <row r="193" spans="1:10" s="3" customFormat="1" ht="28.5" customHeight="1" x14ac:dyDescent="0.2">
      <c r="A193" s="71" t="s">
        <v>80</v>
      </c>
      <c r="B193" s="39" t="s">
        <v>436</v>
      </c>
      <c r="C193" s="40">
        <v>200</v>
      </c>
      <c r="D193" s="41">
        <f t="shared" si="73"/>
        <v>3144029.11</v>
      </c>
      <c r="E193" s="41">
        <f t="shared" si="74"/>
        <v>0</v>
      </c>
      <c r="F193" s="41">
        <f t="shared" si="75"/>
        <v>0</v>
      </c>
      <c r="G193" s="13"/>
      <c r="H193" s="13"/>
      <c r="I193" s="13"/>
      <c r="J193" s="13"/>
    </row>
    <row r="194" spans="1:10" s="3" customFormat="1" ht="27" customHeight="1" x14ac:dyDescent="0.2">
      <c r="A194" s="71" t="s">
        <v>221</v>
      </c>
      <c r="B194" s="39" t="s">
        <v>436</v>
      </c>
      <c r="C194" s="40">
        <v>240</v>
      </c>
      <c r="D194" s="41">
        <f>D195+D196</f>
        <v>3144029.11</v>
      </c>
      <c r="E194" s="41">
        <f t="shared" ref="E194:F194" si="76">E195+E196</f>
        <v>0</v>
      </c>
      <c r="F194" s="41">
        <f t="shared" si="76"/>
        <v>0</v>
      </c>
      <c r="G194" s="13"/>
      <c r="H194" s="13"/>
      <c r="I194" s="13"/>
      <c r="J194" s="13"/>
    </row>
    <row r="195" spans="1:10" s="3" customFormat="1" ht="28.5" customHeight="1" x14ac:dyDescent="0.2">
      <c r="A195" s="38" t="s">
        <v>344</v>
      </c>
      <c r="B195" s="39" t="s">
        <v>436</v>
      </c>
      <c r="C195" s="40">
        <v>243</v>
      </c>
      <c r="D195" s="41">
        <f>945393.45+1912633.07</f>
        <v>2858026.52</v>
      </c>
      <c r="E195" s="41"/>
      <c r="F195" s="41"/>
      <c r="G195" s="13"/>
      <c r="H195" s="13"/>
      <c r="I195" s="13"/>
      <c r="J195" s="13"/>
    </row>
    <row r="196" spans="1:10" s="3" customFormat="1" ht="28.5" customHeight="1" x14ac:dyDescent="0.2">
      <c r="A196" s="38" t="s">
        <v>21</v>
      </c>
      <c r="B196" s="39" t="s">
        <v>439</v>
      </c>
      <c r="C196" s="40">
        <v>244</v>
      </c>
      <c r="D196" s="41">
        <v>286002.59000000003</v>
      </c>
      <c r="E196" s="41"/>
      <c r="F196" s="41"/>
      <c r="G196" s="13"/>
      <c r="H196" s="13"/>
      <c r="I196" s="13"/>
      <c r="J196" s="13"/>
    </row>
    <row r="197" spans="1:10" s="3" customFormat="1" ht="76.5" customHeight="1" x14ac:dyDescent="0.2">
      <c r="A197" s="38" t="s">
        <v>468</v>
      </c>
      <c r="B197" s="39" t="s">
        <v>447</v>
      </c>
      <c r="C197" s="40"/>
      <c r="D197" s="41">
        <f t="shared" ref="D197:D198" si="77">D198</f>
        <v>12419213.48</v>
      </c>
      <c r="E197" s="41">
        <f t="shared" ref="E197:E198" si="78">E198</f>
        <v>0</v>
      </c>
      <c r="F197" s="41">
        <f t="shared" ref="F197:F198" si="79">F198</f>
        <v>0</v>
      </c>
      <c r="G197" s="13"/>
      <c r="H197" s="13"/>
      <c r="I197" s="13"/>
      <c r="J197" s="13"/>
    </row>
    <row r="198" spans="1:10" s="3" customFormat="1" ht="28.5" customHeight="1" x14ac:dyDescent="0.2">
      <c r="A198" s="38" t="s">
        <v>80</v>
      </c>
      <c r="B198" s="39" t="s">
        <v>447</v>
      </c>
      <c r="C198" s="40">
        <v>200</v>
      </c>
      <c r="D198" s="41">
        <f t="shared" si="77"/>
        <v>12419213.48</v>
      </c>
      <c r="E198" s="41">
        <f t="shared" si="78"/>
        <v>0</v>
      </c>
      <c r="F198" s="41">
        <f t="shared" si="79"/>
        <v>0</v>
      </c>
      <c r="G198" s="13"/>
      <c r="H198" s="13"/>
      <c r="I198" s="13"/>
      <c r="J198" s="13"/>
    </row>
    <row r="199" spans="1:10" s="3" customFormat="1" ht="28.5" customHeight="1" x14ac:dyDescent="0.2">
      <c r="A199" s="38" t="s">
        <v>221</v>
      </c>
      <c r="B199" s="39" t="s">
        <v>447</v>
      </c>
      <c r="C199" s="40">
        <v>240</v>
      </c>
      <c r="D199" s="41">
        <f>D200</f>
        <v>12419213.48</v>
      </c>
      <c r="E199" s="41">
        <f t="shared" ref="E199:F199" si="80">E200</f>
        <v>0</v>
      </c>
      <c r="F199" s="41">
        <f t="shared" si="80"/>
        <v>0</v>
      </c>
      <c r="G199" s="13"/>
      <c r="H199" s="13"/>
      <c r="I199" s="13"/>
      <c r="J199" s="13"/>
    </row>
    <row r="200" spans="1:10" s="3" customFormat="1" ht="28.5" customHeight="1" x14ac:dyDescent="0.2">
      <c r="A200" s="38" t="s">
        <v>344</v>
      </c>
      <c r="B200" s="39" t="s">
        <v>447</v>
      </c>
      <c r="C200" s="40">
        <v>243</v>
      </c>
      <c r="D200" s="41">
        <v>12419213.48</v>
      </c>
      <c r="E200" s="41"/>
      <c r="F200" s="41"/>
      <c r="G200" s="13"/>
      <c r="H200" s="13"/>
      <c r="I200" s="13"/>
      <c r="J200" s="13"/>
    </row>
    <row r="201" spans="1:10" s="8" customFormat="1" ht="66" customHeight="1" x14ac:dyDescent="0.2">
      <c r="A201" s="71" t="s">
        <v>372</v>
      </c>
      <c r="B201" s="39" t="s">
        <v>371</v>
      </c>
      <c r="C201" s="40"/>
      <c r="D201" s="41">
        <f>D202</f>
        <v>0</v>
      </c>
      <c r="E201" s="41">
        <f t="shared" ref="E201:F201" si="81">E202</f>
        <v>0</v>
      </c>
      <c r="F201" s="41">
        <f t="shared" si="81"/>
        <v>0</v>
      </c>
      <c r="G201" s="17"/>
      <c r="H201" s="17"/>
      <c r="I201" s="17"/>
      <c r="J201" s="17"/>
    </row>
    <row r="202" spans="1:10" s="8" customFormat="1" ht="27.75" customHeight="1" x14ac:dyDescent="0.2">
      <c r="A202" s="71" t="s">
        <v>80</v>
      </c>
      <c r="B202" s="39" t="s">
        <v>371</v>
      </c>
      <c r="C202" s="40">
        <v>200</v>
      </c>
      <c r="D202" s="41">
        <f>D203</f>
        <v>0</v>
      </c>
      <c r="E202" s="41">
        <f t="shared" ref="E202" si="82">E203</f>
        <v>0</v>
      </c>
      <c r="F202" s="41">
        <f t="shared" ref="F202" si="83">F203</f>
        <v>0</v>
      </c>
      <c r="G202" s="17"/>
      <c r="H202" s="17"/>
      <c r="I202" s="17"/>
      <c r="J202" s="17"/>
    </row>
    <row r="203" spans="1:10" s="8" customFormat="1" ht="27.75" customHeight="1" x14ac:dyDescent="0.2">
      <c r="A203" s="71" t="s">
        <v>221</v>
      </c>
      <c r="B203" s="39" t="s">
        <v>371</v>
      </c>
      <c r="C203" s="40">
        <v>240</v>
      </c>
      <c r="D203" s="41">
        <f>D204</f>
        <v>0</v>
      </c>
      <c r="E203" s="41">
        <f t="shared" ref="E203:F203" si="84">E204</f>
        <v>0</v>
      </c>
      <c r="F203" s="41">
        <f t="shared" si="84"/>
        <v>0</v>
      </c>
      <c r="G203" s="17"/>
      <c r="H203" s="17"/>
      <c r="I203" s="17"/>
      <c r="J203" s="17"/>
    </row>
    <row r="204" spans="1:10" s="8" customFormat="1" ht="33.75" customHeight="1" x14ac:dyDescent="0.2">
      <c r="A204" s="38" t="s">
        <v>344</v>
      </c>
      <c r="B204" s="39" t="s">
        <v>371</v>
      </c>
      <c r="C204" s="40">
        <v>243</v>
      </c>
      <c r="D204" s="41">
        <v>0</v>
      </c>
      <c r="E204" s="41">
        <v>0</v>
      </c>
      <c r="F204" s="41"/>
      <c r="G204" s="17"/>
      <c r="H204" s="17"/>
      <c r="I204" s="17"/>
      <c r="J204" s="17"/>
    </row>
    <row r="205" spans="1:10" s="3" customFormat="1" ht="58.5" customHeight="1" x14ac:dyDescent="0.2">
      <c r="A205" s="94" t="s">
        <v>464</v>
      </c>
      <c r="B205" s="40" t="s">
        <v>343</v>
      </c>
      <c r="C205" s="40"/>
      <c r="D205" s="45">
        <f>D207</f>
        <v>3165267.81</v>
      </c>
      <c r="E205" s="45">
        <f>E207</f>
        <v>3269764.18</v>
      </c>
      <c r="F205" s="45">
        <f>F207</f>
        <v>3367679.16</v>
      </c>
      <c r="G205" s="13"/>
      <c r="H205" s="13"/>
      <c r="I205" s="13"/>
      <c r="J205" s="13"/>
    </row>
    <row r="206" spans="1:10" s="3" customFormat="1" ht="25.5" x14ac:dyDescent="0.2">
      <c r="A206" s="73" t="s">
        <v>81</v>
      </c>
      <c r="B206" s="40" t="s">
        <v>343</v>
      </c>
      <c r="C206" s="72">
        <v>600</v>
      </c>
      <c r="D206" s="45">
        <f t="shared" ref="D206:F207" si="85">D207</f>
        <v>3165267.81</v>
      </c>
      <c r="E206" s="45">
        <f t="shared" si="85"/>
        <v>3269764.18</v>
      </c>
      <c r="F206" s="45">
        <f t="shared" si="85"/>
        <v>3367679.16</v>
      </c>
      <c r="G206" s="13"/>
      <c r="H206" s="13"/>
      <c r="I206" s="13"/>
      <c r="J206" s="13"/>
    </row>
    <row r="207" spans="1:10" s="3" customFormat="1" ht="12.75" x14ac:dyDescent="0.2">
      <c r="A207" s="73" t="s">
        <v>49</v>
      </c>
      <c r="B207" s="40" t="s">
        <v>343</v>
      </c>
      <c r="C207" s="72">
        <v>610</v>
      </c>
      <c r="D207" s="45">
        <f t="shared" si="85"/>
        <v>3165267.81</v>
      </c>
      <c r="E207" s="45">
        <f t="shared" si="85"/>
        <v>3269764.18</v>
      </c>
      <c r="F207" s="45">
        <f t="shared" si="85"/>
        <v>3367679.16</v>
      </c>
      <c r="G207" s="13"/>
      <c r="H207" s="13"/>
      <c r="I207" s="13"/>
      <c r="J207" s="13"/>
    </row>
    <row r="208" spans="1:10" s="3" customFormat="1" ht="12.75" x14ac:dyDescent="0.2">
      <c r="A208" s="97" t="s">
        <v>2</v>
      </c>
      <c r="B208" s="40" t="s">
        <v>343</v>
      </c>
      <c r="C208" s="72">
        <v>612</v>
      </c>
      <c r="D208" s="45">
        <v>3165267.81</v>
      </c>
      <c r="E208" s="45">
        <v>3269764.18</v>
      </c>
      <c r="F208" s="45">
        <v>3367679.16</v>
      </c>
      <c r="G208" s="13"/>
      <c r="H208" s="13"/>
      <c r="I208" s="13"/>
      <c r="J208" s="13"/>
    </row>
    <row r="209" spans="1:10" s="3" customFormat="1" ht="25.5" x14ac:dyDescent="0.2">
      <c r="A209" s="82" t="s">
        <v>59</v>
      </c>
      <c r="B209" s="39" t="s">
        <v>28</v>
      </c>
      <c r="C209" s="72"/>
      <c r="D209" s="45">
        <f>D211</f>
        <v>1563712</v>
      </c>
      <c r="E209" s="45">
        <f>E211</f>
        <v>1563712</v>
      </c>
      <c r="F209" s="45">
        <f>F211</f>
        <v>1563712</v>
      </c>
      <c r="G209" s="13"/>
      <c r="H209" s="13"/>
      <c r="I209" s="13"/>
      <c r="J209" s="13"/>
    </row>
    <row r="210" spans="1:10" s="3" customFormat="1" ht="25.5" x14ac:dyDescent="0.2">
      <c r="A210" s="73" t="s">
        <v>81</v>
      </c>
      <c r="B210" s="39" t="s">
        <v>28</v>
      </c>
      <c r="C210" s="72">
        <v>600</v>
      </c>
      <c r="D210" s="45">
        <f>D211</f>
        <v>1563712</v>
      </c>
      <c r="E210" s="45">
        <f>E211</f>
        <v>1563712</v>
      </c>
      <c r="F210" s="45">
        <f>F211</f>
        <v>1563712</v>
      </c>
      <c r="G210" s="13"/>
      <c r="H210" s="13"/>
      <c r="I210" s="13"/>
      <c r="J210" s="13"/>
    </row>
    <row r="211" spans="1:10" s="3" customFormat="1" ht="12.75" x14ac:dyDescent="0.2">
      <c r="A211" s="73" t="s">
        <v>49</v>
      </c>
      <c r="B211" s="39" t="s">
        <v>28</v>
      </c>
      <c r="C211" s="72">
        <v>610</v>
      </c>
      <c r="D211" s="45">
        <f>D212</f>
        <v>1563712</v>
      </c>
      <c r="E211" s="45">
        <f t="shared" ref="E211:F211" si="86">E212</f>
        <v>1563712</v>
      </c>
      <c r="F211" s="45">
        <f t="shared" si="86"/>
        <v>1563712</v>
      </c>
      <c r="G211" s="13"/>
      <c r="H211" s="13"/>
      <c r="I211" s="13"/>
      <c r="J211" s="13"/>
    </row>
    <row r="212" spans="1:10" s="3" customFormat="1" ht="12.75" x14ac:dyDescent="0.2">
      <c r="A212" s="97" t="s">
        <v>2</v>
      </c>
      <c r="B212" s="39" t="s">
        <v>28</v>
      </c>
      <c r="C212" s="72">
        <v>612</v>
      </c>
      <c r="D212" s="45">
        <v>1563712</v>
      </c>
      <c r="E212" s="45">
        <v>1563712</v>
      </c>
      <c r="F212" s="45">
        <v>1563712</v>
      </c>
      <c r="G212" s="13"/>
      <c r="H212" s="13"/>
      <c r="I212" s="13"/>
      <c r="J212" s="13"/>
    </row>
    <row r="213" spans="1:10" s="5" customFormat="1" ht="65.25" customHeight="1" x14ac:dyDescent="0.2">
      <c r="A213" s="98" t="s">
        <v>225</v>
      </c>
      <c r="B213" s="57" t="s">
        <v>105</v>
      </c>
      <c r="C213" s="58"/>
      <c r="D213" s="59">
        <f>D218+D222+D226+D233+D238+D214</f>
        <v>34042930.989999995</v>
      </c>
      <c r="E213" s="59">
        <f t="shared" ref="E213:F213" si="87">E218+E222+E226+E233+E238+E214</f>
        <v>33276885.739999995</v>
      </c>
      <c r="F213" s="59">
        <f t="shared" si="87"/>
        <v>33276885.739999995</v>
      </c>
      <c r="G213" s="15"/>
      <c r="H213" s="15"/>
      <c r="I213" s="15"/>
      <c r="J213" s="15"/>
    </row>
    <row r="214" spans="1:10" s="5" customFormat="1" ht="22.5" customHeight="1" x14ac:dyDescent="0.2">
      <c r="A214" s="74" t="s">
        <v>426</v>
      </c>
      <c r="B214" s="85" t="s">
        <v>425</v>
      </c>
      <c r="C214" s="99"/>
      <c r="D214" s="45">
        <f t="shared" ref="D214:D215" si="88">D215</f>
        <v>2728800</v>
      </c>
      <c r="E214" s="45">
        <f t="shared" ref="E214:E215" si="89">E215</f>
        <v>2728800</v>
      </c>
      <c r="F214" s="45">
        <f t="shared" ref="F214:F215" si="90">F215</f>
        <v>2728800</v>
      </c>
      <c r="G214" s="15"/>
      <c r="H214" s="15"/>
      <c r="I214" s="15"/>
      <c r="J214" s="15"/>
    </row>
    <row r="215" spans="1:10" s="5" customFormat="1" ht="32.25" customHeight="1" x14ac:dyDescent="0.2">
      <c r="A215" s="74" t="s">
        <v>80</v>
      </c>
      <c r="B215" s="85" t="s">
        <v>425</v>
      </c>
      <c r="C215" s="100">
        <v>200</v>
      </c>
      <c r="D215" s="45">
        <f t="shared" si="88"/>
        <v>2728800</v>
      </c>
      <c r="E215" s="45">
        <f t="shared" si="89"/>
        <v>2728800</v>
      </c>
      <c r="F215" s="45">
        <f t="shared" si="90"/>
        <v>2728800</v>
      </c>
      <c r="G215" s="15"/>
      <c r="H215" s="15"/>
      <c r="I215" s="15"/>
      <c r="J215" s="15"/>
    </row>
    <row r="216" spans="1:10" s="5" customFormat="1" ht="32.25" customHeight="1" x14ac:dyDescent="0.2">
      <c r="A216" s="74" t="s">
        <v>62</v>
      </c>
      <c r="B216" s="85" t="s">
        <v>425</v>
      </c>
      <c r="C216" s="100">
        <v>240</v>
      </c>
      <c r="D216" s="45">
        <f>D217</f>
        <v>2728800</v>
      </c>
      <c r="E216" s="45">
        <f t="shared" ref="E216:F216" si="91">E217</f>
        <v>2728800</v>
      </c>
      <c r="F216" s="45">
        <f t="shared" si="91"/>
        <v>2728800</v>
      </c>
      <c r="G216" s="15"/>
      <c r="H216" s="15"/>
      <c r="I216" s="15"/>
      <c r="J216" s="15"/>
    </row>
    <row r="217" spans="1:10" s="5" customFormat="1" ht="20.25" customHeight="1" x14ac:dyDescent="0.2">
      <c r="A217" s="74" t="s">
        <v>21</v>
      </c>
      <c r="B217" s="85" t="s">
        <v>425</v>
      </c>
      <c r="C217" s="100">
        <v>244</v>
      </c>
      <c r="D217" s="45">
        <v>2728800</v>
      </c>
      <c r="E217" s="45">
        <v>2728800</v>
      </c>
      <c r="F217" s="45">
        <v>2728800</v>
      </c>
      <c r="G217" s="15"/>
      <c r="H217" s="15"/>
      <c r="I217" s="15"/>
      <c r="J217" s="15"/>
    </row>
    <row r="218" spans="1:10" s="5" customFormat="1" ht="38.25" x14ac:dyDescent="0.2">
      <c r="A218" s="42" t="s">
        <v>188</v>
      </c>
      <c r="B218" s="43" t="s">
        <v>260</v>
      </c>
      <c r="C218" s="101"/>
      <c r="D218" s="45">
        <f t="shared" ref="D218:F220" si="92">D219</f>
        <v>5132800</v>
      </c>
      <c r="E218" s="45">
        <f t="shared" si="92"/>
        <v>5132800</v>
      </c>
      <c r="F218" s="45">
        <f>F219</f>
        <v>5132800</v>
      </c>
      <c r="G218" s="15"/>
      <c r="H218" s="15"/>
      <c r="I218" s="15"/>
      <c r="J218" s="15"/>
    </row>
    <row r="219" spans="1:10" s="3" customFormat="1" ht="25.5" x14ac:dyDescent="0.2">
      <c r="A219" s="42" t="s">
        <v>80</v>
      </c>
      <c r="B219" s="43" t="s">
        <v>260</v>
      </c>
      <c r="C219" s="64">
        <v>200</v>
      </c>
      <c r="D219" s="45">
        <f t="shared" si="92"/>
        <v>5132800</v>
      </c>
      <c r="E219" s="45">
        <f t="shared" si="92"/>
        <v>5132800</v>
      </c>
      <c r="F219" s="45">
        <f t="shared" si="92"/>
        <v>5132800</v>
      </c>
      <c r="G219" s="13"/>
      <c r="H219" s="13"/>
      <c r="I219" s="13"/>
      <c r="J219" s="13"/>
    </row>
    <row r="220" spans="1:10" s="3" customFormat="1" ht="28.5" customHeight="1" x14ac:dyDescent="0.2">
      <c r="A220" s="42" t="s">
        <v>62</v>
      </c>
      <c r="B220" s="43" t="s">
        <v>260</v>
      </c>
      <c r="C220" s="64">
        <v>240</v>
      </c>
      <c r="D220" s="45">
        <f>D221</f>
        <v>5132800</v>
      </c>
      <c r="E220" s="45">
        <f t="shared" si="92"/>
        <v>5132800</v>
      </c>
      <c r="F220" s="45">
        <f t="shared" si="92"/>
        <v>5132800</v>
      </c>
      <c r="G220" s="13"/>
      <c r="H220" s="13"/>
      <c r="I220" s="13"/>
      <c r="J220" s="13"/>
    </row>
    <row r="221" spans="1:10" s="3" customFormat="1" ht="12.75" x14ac:dyDescent="0.2">
      <c r="A221" s="42" t="s">
        <v>21</v>
      </c>
      <c r="B221" s="43" t="s">
        <v>260</v>
      </c>
      <c r="C221" s="64">
        <v>244</v>
      </c>
      <c r="D221" s="45">
        <v>5132800</v>
      </c>
      <c r="E221" s="45">
        <v>5132800</v>
      </c>
      <c r="F221" s="45">
        <v>5132800</v>
      </c>
      <c r="G221" s="13"/>
      <c r="H221" s="13"/>
      <c r="I221" s="13"/>
      <c r="J221" s="13"/>
    </row>
    <row r="222" spans="1:10" s="5" customFormat="1" ht="25.5" x14ac:dyDescent="0.2">
      <c r="A222" s="42" t="s">
        <v>189</v>
      </c>
      <c r="B222" s="43" t="s">
        <v>262</v>
      </c>
      <c r="C222" s="101"/>
      <c r="D222" s="45">
        <f>D223+D231</f>
        <v>1563912.28</v>
      </c>
      <c r="E222" s="45">
        <f t="shared" ref="E222:F222" si="93">E223+E231</f>
        <v>1849653.26</v>
      </c>
      <c r="F222" s="45">
        <f t="shared" si="93"/>
        <v>1849653.26</v>
      </c>
      <c r="G222" s="15"/>
      <c r="H222" s="15"/>
      <c r="I222" s="15"/>
      <c r="J222" s="15"/>
    </row>
    <row r="223" spans="1:10" s="3" customFormat="1" ht="25.5" x14ac:dyDescent="0.2">
      <c r="A223" s="42" t="s">
        <v>80</v>
      </c>
      <c r="B223" s="43" t="s">
        <v>262</v>
      </c>
      <c r="C223" s="64">
        <v>200</v>
      </c>
      <c r="D223" s="45">
        <f t="shared" ref="D223:F224" si="94">D224</f>
        <v>1548653.26</v>
      </c>
      <c r="E223" s="45">
        <f t="shared" si="94"/>
        <v>1849653.26</v>
      </c>
      <c r="F223" s="45">
        <f t="shared" si="94"/>
        <v>1849653.26</v>
      </c>
      <c r="G223" s="13"/>
      <c r="H223" s="13"/>
      <c r="I223" s="13"/>
      <c r="J223" s="13"/>
    </row>
    <row r="224" spans="1:10" s="3" customFormat="1" ht="28.5" customHeight="1" x14ac:dyDescent="0.2">
      <c r="A224" s="42" t="s">
        <v>62</v>
      </c>
      <c r="B224" s="43" t="s">
        <v>262</v>
      </c>
      <c r="C224" s="64">
        <v>240</v>
      </c>
      <c r="D224" s="45">
        <f>D225</f>
        <v>1548653.26</v>
      </c>
      <c r="E224" s="45">
        <f t="shared" si="94"/>
        <v>1849653.26</v>
      </c>
      <c r="F224" s="45">
        <f t="shared" si="94"/>
        <v>1849653.26</v>
      </c>
      <c r="G224" s="13"/>
      <c r="H224" s="13"/>
      <c r="I224" s="13"/>
      <c r="J224" s="13"/>
    </row>
    <row r="225" spans="1:10" s="3" customFormat="1" ht="12.75" x14ac:dyDescent="0.2">
      <c r="A225" s="42" t="s">
        <v>21</v>
      </c>
      <c r="B225" s="43" t="s">
        <v>262</v>
      </c>
      <c r="C225" s="64">
        <v>244</v>
      </c>
      <c r="D225" s="45">
        <f>1849653.26-301000</f>
        <v>1548653.26</v>
      </c>
      <c r="E225" s="45">
        <v>1849653.26</v>
      </c>
      <c r="F225" s="45">
        <v>1849653.26</v>
      </c>
      <c r="G225" s="13"/>
      <c r="H225" s="13"/>
      <c r="I225" s="13"/>
      <c r="J225" s="13"/>
    </row>
    <row r="226" spans="1:10" s="5" customFormat="1" ht="12.75" x14ac:dyDescent="0.2">
      <c r="A226" s="42" t="s">
        <v>261</v>
      </c>
      <c r="B226" s="43" t="s">
        <v>265</v>
      </c>
      <c r="C226" s="101"/>
      <c r="D226" s="45">
        <f t="shared" ref="D226:F227" si="95">D227</f>
        <v>16966944.849999998</v>
      </c>
      <c r="E226" s="45">
        <f t="shared" si="95"/>
        <v>17982203.869999997</v>
      </c>
      <c r="F226" s="45">
        <f t="shared" si="95"/>
        <v>17982203.869999997</v>
      </c>
      <c r="G226" s="15"/>
      <c r="H226" s="15"/>
      <c r="I226" s="15"/>
      <c r="J226" s="15"/>
    </row>
    <row r="227" spans="1:10" s="3" customFormat="1" ht="25.5" x14ac:dyDescent="0.2">
      <c r="A227" s="42" t="s">
        <v>80</v>
      </c>
      <c r="B227" s="43" t="s">
        <v>265</v>
      </c>
      <c r="C227" s="64">
        <v>200</v>
      </c>
      <c r="D227" s="45">
        <f t="shared" si="95"/>
        <v>16966944.849999998</v>
      </c>
      <c r="E227" s="45">
        <f t="shared" si="95"/>
        <v>17982203.869999997</v>
      </c>
      <c r="F227" s="45">
        <f t="shared" si="95"/>
        <v>17982203.869999997</v>
      </c>
      <c r="G227" s="13"/>
      <c r="H227" s="13"/>
      <c r="I227" s="13"/>
      <c r="J227" s="13"/>
    </row>
    <row r="228" spans="1:10" s="3" customFormat="1" ht="28.5" customHeight="1" x14ac:dyDescent="0.2">
      <c r="A228" s="42" t="s">
        <v>62</v>
      </c>
      <c r="B228" s="43" t="s">
        <v>265</v>
      </c>
      <c r="C228" s="64">
        <v>240</v>
      </c>
      <c r="D228" s="45">
        <f>D229+D230</f>
        <v>16966944.849999998</v>
      </c>
      <c r="E228" s="45">
        <f>E229+E230</f>
        <v>17982203.869999997</v>
      </c>
      <c r="F228" s="45">
        <f>F229+F230</f>
        <v>17982203.869999997</v>
      </c>
      <c r="G228" s="13"/>
      <c r="H228" s="13"/>
      <c r="I228" s="13"/>
      <c r="J228" s="13"/>
    </row>
    <row r="229" spans="1:10" s="3" customFormat="1" ht="12.75" x14ac:dyDescent="0.2">
      <c r="A229" s="42" t="s">
        <v>21</v>
      </c>
      <c r="B229" s="43" t="s">
        <v>265</v>
      </c>
      <c r="C229" s="64">
        <v>244</v>
      </c>
      <c r="D229" s="45">
        <f>5142000-1000000-15259.02</f>
        <v>4126740.98</v>
      </c>
      <c r="E229" s="45">
        <v>5142000</v>
      </c>
      <c r="F229" s="45">
        <v>5142000</v>
      </c>
      <c r="G229" s="13"/>
      <c r="H229" s="13"/>
      <c r="I229" s="13"/>
      <c r="J229" s="13"/>
    </row>
    <row r="230" spans="1:10" s="3" customFormat="1" ht="12.75" x14ac:dyDescent="0.2">
      <c r="A230" s="42" t="s">
        <v>92</v>
      </c>
      <c r="B230" s="43" t="s">
        <v>265</v>
      </c>
      <c r="C230" s="102">
        <v>247</v>
      </c>
      <c r="D230" s="45">
        <v>12840203.869999999</v>
      </c>
      <c r="E230" s="45">
        <v>12840203.869999999</v>
      </c>
      <c r="F230" s="45">
        <v>12840203.869999999</v>
      </c>
      <c r="G230" s="13"/>
      <c r="H230" s="13"/>
      <c r="I230" s="13"/>
      <c r="J230" s="13"/>
    </row>
    <row r="231" spans="1:10" s="3" customFormat="1" ht="12.75" x14ac:dyDescent="0.2">
      <c r="A231" s="42" t="s">
        <v>169</v>
      </c>
      <c r="B231" s="43" t="s">
        <v>265</v>
      </c>
      <c r="C231" s="62">
        <v>800</v>
      </c>
      <c r="D231" s="45">
        <f>D232</f>
        <v>15259.02</v>
      </c>
      <c r="E231" s="45">
        <f t="shared" ref="E231:F231" si="96">E232</f>
        <v>0</v>
      </c>
      <c r="F231" s="45">
        <f t="shared" si="96"/>
        <v>0</v>
      </c>
      <c r="G231" s="13"/>
      <c r="H231" s="13"/>
      <c r="I231" s="13"/>
      <c r="J231" s="13"/>
    </row>
    <row r="232" spans="1:10" s="3" customFormat="1" ht="12.75" x14ac:dyDescent="0.2">
      <c r="A232" s="42" t="s">
        <v>159</v>
      </c>
      <c r="B232" s="43" t="s">
        <v>265</v>
      </c>
      <c r="C232" s="62">
        <v>850</v>
      </c>
      <c r="D232" s="45">
        <v>15259.02</v>
      </c>
      <c r="E232" s="45"/>
      <c r="F232" s="45"/>
      <c r="G232" s="13"/>
      <c r="H232" s="13"/>
      <c r="I232" s="13"/>
      <c r="J232" s="13"/>
    </row>
    <row r="233" spans="1:10" s="5" customFormat="1" ht="25.5" x14ac:dyDescent="0.2">
      <c r="A233" s="42" t="s">
        <v>263</v>
      </c>
      <c r="B233" s="64" t="s">
        <v>264</v>
      </c>
      <c r="C233" s="101"/>
      <c r="D233" s="45">
        <f>D234</f>
        <v>5253948.6100000003</v>
      </c>
      <c r="E233" s="45">
        <f t="shared" ref="E233:F233" si="97">E234</f>
        <v>5173948.6100000003</v>
      </c>
      <c r="F233" s="45">
        <f t="shared" si="97"/>
        <v>5173948.6100000003</v>
      </c>
      <c r="G233" s="15"/>
      <c r="H233" s="15"/>
      <c r="I233" s="15"/>
      <c r="J233" s="15"/>
    </row>
    <row r="234" spans="1:10" s="3" customFormat="1" ht="25.5" x14ac:dyDescent="0.2">
      <c r="A234" s="42" t="s">
        <v>80</v>
      </c>
      <c r="B234" s="64" t="s">
        <v>264</v>
      </c>
      <c r="C234" s="64">
        <v>200</v>
      </c>
      <c r="D234" s="45">
        <f t="shared" ref="D234:F234" si="98">D235</f>
        <v>5253948.6100000003</v>
      </c>
      <c r="E234" s="45">
        <f t="shared" si="98"/>
        <v>5173948.6100000003</v>
      </c>
      <c r="F234" s="45">
        <f t="shared" si="98"/>
        <v>5173948.6100000003</v>
      </c>
      <c r="G234" s="13"/>
      <c r="H234" s="13"/>
      <c r="I234" s="13"/>
      <c r="J234" s="13"/>
    </row>
    <row r="235" spans="1:10" s="3" customFormat="1" ht="28.5" customHeight="1" x14ac:dyDescent="0.2">
      <c r="A235" s="42" t="s">
        <v>62</v>
      </c>
      <c r="B235" s="64" t="s">
        <v>264</v>
      </c>
      <c r="C235" s="51">
        <v>240</v>
      </c>
      <c r="D235" s="45">
        <f>D237+D236</f>
        <v>5253948.6100000003</v>
      </c>
      <c r="E235" s="45">
        <f t="shared" ref="E235:F235" si="99">E237+E236</f>
        <v>5173948.6100000003</v>
      </c>
      <c r="F235" s="45">
        <f t="shared" si="99"/>
        <v>5173948.6100000003</v>
      </c>
      <c r="G235" s="13"/>
      <c r="H235" s="13"/>
      <c r="I235" s="13"/>
      <c r="J235" s="13"/>
    </row>
    <row r="236" spans="1:10" s="3" customFormat="1" ht="28.5" customHeight="1" x14ac:dyDescent="0.2">
      <c r="A236" s="42" t="s">
        <v>388</v>
      </c>
      <c r="B236" s="64" t="s">
        <v>264</v>
      </c>
      <c r="C236" s="51">
        <v>243</v>
      </c>
      <c r="D236" s="45">
        <v>11650</v>
      </c>
      <c r="E236" s="45">
        <v>0</v>
      </c>
      <c r="F236" s="45">
        <v>0</v>
      </c>
      <c r="G236" s="13"/>
      <c r="H236" s="13"/>
      <c r="I236" s="13"/>
      <c r="J236" s="13"/>
    </row>
    <row r="237" spans="1:10" s="3" customFormat="1" ht="12.75" x14ac:dyDescent="0.2">
      <c r="A237" s="42" t="s">
        <v>21</v>
      </c>
      <c r="B237" s="64" t="s">
        <v>264</v>
      </c>
      <c r="C237" s="51">
        <v>244</v>
      </c>
      <c r="D237" s="45">
        <f>5173948.61-11650+80000+200000-200000</f>
        <v>5242298.6100000003</v>
      </c>
      <c r="E237" s="45">
        <v>5173948.6100000003</v>
      </c>
      <c r="F237" s="45">
        <v>5173948.6100000003</v>
      </c>
      <c r="G237" s="13"/>
      <c r="H237" s="13"/>
      <c r="I237" s="13"/>
      <c r="J237" s="13"/>
    </row>
    <row r="238" spans="1:10" s="5" customFormat="1" ht="32.25" customHeight="1" x14ac:dyDescent="0.2">
      <c r="A238" s="103" t="s">
        <v>106</v>
      </c>
      <c r="B238" s="40" t="s">
        <v>259</v>
      </c>
      <c r="C238" s="104"/>
      <c r="D238" s="45">
        <f t="shared" ref="D238:F240" si="100">D239</f>
        <v>2396525.25</v>
      </c>
      <c r="E238" s="45">
        <f t="shared" si="100"/>
        <v>409480</v>
      </c>
      <c r="F238" s="45">
        <f t="shared" si="100"/>
        <v>409480</v>
      </c>
      <c r="G238" s="15"/>
      <c r="H238" s="15"/>
      <c r="I238" s="15"/>
      <c r="J238" s="15"/>
    </row>
    <row r="239" spans="1:10" s="3" customFormat="1" ht="25.5" x14ac:dyDescent="0.2">
      <c r="A239" s="42" t="s">
        <v>80</v>
      </c>
      <c r="B239" s="40" t="s">
        <v>259</v>
      </c>
      <c r="C239" s="51">
        <v>200</v>
      </c>
      <c r="D239" s="45">
        <f t="shared" si="100"/>
        <v>2396525.25</v>
      </c>
      <c r="E239" s="45">
        <f t="shared" si="100"/>
        <v>409480</v>
      </c>
      <c r="F239" s="45">
        <f t="shared" si="100"/>
        <v>409480</v>
      </c>
      <c r="G239" s="13"/>
      <c r="H239" s="13"/>
      <c r="I239" s="13"/>
      <c r="J239" s="13"/>
    </row>
    <row r="240" spans="1:10" s="3" customFormat="1" ht="28.5" customHeight="1" x14ac:dyDescent="0.2">
      <c r="A240" s="42" t="s">
        <v>62</v>
      </c>
      <c r="B240" s="40" t="s">
        <v>259</v>
      </c>
      <c r="C240" s="51">
        <v>240</v>
      </c>
      <c r="D240" s="45">
        <f>D241</f>
        <v>2396525.25</v>
      </c>
      <c r="E240" s="45">
        <f t="shared" si="100"/>
        <v>409480</v>
      </c>
      <c r="F240" s="45">
        <f t="shared" si="100"/>
        <v>409480</v>
      </c>
      <c r="G240" s="13"/>
      <c r="H240" s="13"/>
      <c r="I240" s="13"/>
      <c r="J240" s="13"/>
    </row>
    <row r="241" spans="1:10" s="3" customFormat="1" ht="12.75" x14ac:dyDescent="0.2">
      <c r="A241" s="42" t="s">
        <v>96</v>
      </c>
      <c r="B241" s="40" t="s">
        <v>259</v>
      </c>
      <c r="C241" s="51">
        <v>244</v>
      </c>
      <c r="D241" s="45">
        <f>409480+1987045.25</f>
        <v>2396525.25</v>
      </c>
      <c r="E241" s="45">
        <v>409480</v>
      </c>
      <c r="F241" s="45">
        <v>409480</v>
      </c>
      <c r="G241" s="13"/>
      <c r="H241" s="13"/>
      <c r="I241" s="13"/>
      <c r="J241" s="13"/>
    </row>
    <row r="242" spans="1:10" s="5" customFormat="1" ht="91.5" customHeight="1" x14ac:dyDescent="0.2">
      <c r="A242" s="56" t="s">
        <v>226</v>
      </c>
      <c r="B242" s="57" t="s">
        <v>9</v>
      </c>
      <c r="C242" s="105"/>
      <c r="D242" s="59">
        <f>D243+D248+D253+D258</f>
        <v>2688907.33</v>
      </c>
      <c r="E242" s="59">
        <f>E243+E248+E253+E258</f>
        <v>10216802</v>
      </c>
      <c r="F242" s="59">
        <f>F243+F248+F253+F258</f>
        <v>20800000</v>
      </c>
      <c r="G242" s="33"/>
      <c r="H242" s="15"/>
      <c r="I242" s="15"/>
      <c r="J242" s="15"/>
    </row>
    <row r="243" spans="1:10" s="4" customFormat="1" ht="25.5" x14ac:dyDescent="0.2">
      <c r="A243" s="106" t="s">
        <v>244</v>
      </c>
      <c r="B243" s="107" t="s">
        <v>31</v>
      </c>
      <c r="C243" s="108"/>
      <c r="D243" s="55">
        <f>D244</f>
        <v>890000</v>
      </c>
      <c r="E243" s="55">
        <f t="shared" ref="E243:F246" si="101">E244</f>
        <v>890000</v>
      </c>
      <c r="F243" s="55">
        <f t="shared" si="101"/>
        <v>890000</v>
      </c>
      <c r="G243" s="34"/>
      <c r="H243" s="17"/>
      <c r="I243" s="17"/>
      <c r="J243" s="17"/>
    </row>
    <row r="244" spans="1:10" s="3" customFormat="1" ht="25.5" x14ac:dyDescent="0.2">
      <c r="A244" s="109" t="s">
        <v>66</v>
      </c>
      <c r="B244" s="110" t="s">
        <v>32</v>
      </c>
      <c r="C244" s="79"/>
      <c r="D244" s="45">
        <f>D246</f>
        <v>890000</v>
      </c>
      <c r="E244" s="45">
        <f>E246</f>
        <v>890000</v>
      </c>
      <c r="F244" s="45">
        <f>F246</f>
        <v>890000</v>
      </c>
      <c r="G244" s="25"/>
      <c r="H244" s="13"/>
      <c r="I244" s="13"/>
      <c r="J244" s="13"/>
    </row>
    <row r="245" spans="1:10" s="3" customFormat="1" ht="25.5" x14ac:dyDescent="0.2">
      <c r="A245" s="42" t="s">
        <v>80</v>
      </c>
      <c r="B245" s="110" t="s">
        <v>32</v>
      </c>
      <c r="C245" s="79">
        <v>200</v>
      </c>
      <c r="D245" s="45">
        <f>D246</f>
        <v>890000</v>
      </c>
      <c r="E245" s="45">
        <f>E246</f>
        <v>890000</v>
      </c>
      <c r="F245" s="45">
        <f>F246</f>
        <v>890000</v>
      </c>
      <c r="G245" s="25"/>
      <c r="H245" s="13"/>
      <c r="I245" s="13"/>
      <c r="J245" s="13"/>
    </row>
    <row r="246" spans="1:10" s="5" customFormat="1" ht="25.5" x14ac:dyDescent="0.2">
      <c r="A246" s="42" t="s">
        <v>62</v>
      </c>
      <c r="B246" s="110" t="s">
        <v>32</v>
      </c>
      <c r="C246" s="79">
        <v>240</v>
      </c>
      <c r="D246" s="45">
        <f>D247</f>
        <v>890000</v>
      </c>
      <c r="E246" s="45">
        <f t="shared" si="101"/>
        <v>890000</v>
      </c>
      <c r="F246" s="45">
        <f t="shared" si="101"/>
        <v>890000</v>
      </c>
      <c r="G246" s="33"/>
      <c r="H246" s="15"/>
      <c r="I246" s="15"/>
      <c r="J246" s="15"/>
    </row>
    <row r="247" spans="1:10" s="5" customFormat="1" ht="12.75" x14ac:dyDescent="0.2">
      <c r="A247" s="92" t="s">
        <v>21</v>
      </c>
      <c r="B247" s="110" t="s">
        <v>32</v>
      </c>
      <c r="C247" s="79">
        <v>244</v>
      </c>
      <c r="D247" s="45">
        <v>890000</v>
      </c>
      <c r="E247" s="45">
        <v>890000</v>
      </c>
      <c r="F247" s="45">
        <v>890000</v>
      </c>
      <c r="G247" s="33"/>
      <c r="H247" s="15"/>
      <c r="I247" s="15"/>
      <c r="J247" s="15"/>
    </row>
    <row r="248" spans="1:10" s="3" customFormat="1" ht="25.5" x14ac:dyDescent="0.2">
      <c r="A248" s="109" t="s">
        <v>245</v>
      </c>
      <c r="B248" s="110" t="s">
        <v>36</v>
      </c>
      <c r="C248" s="79"/>
      <c r="D248" s="111">
        <f>D249</f>
        <v>1588907.33</v>
      </c>
      <c r="E248" s="111">
        <f t="shared" ref="E248:F249" si="102">E249</f>
        <v>9116802</v>
      </c>
      <c r="F248" s="111">
        <f t="shared" si="102"/>
        <v>19700000</v>
      </c>
      <c r="G248" s="25"/>
      <c r="H248" s="13"/>
      <c r="I248" s="13"/>
      <c r="J248" s="13"/>
    </row>
    <row r="249" spans="1:10" s="3" customFormat="1" ht="25.5" x14ac:dyDescent="0.2">
      <c r="A249" s="42" t="s">
        <v>67</v>
      </c>
      <c r="B249" s="110" t="s">
        <v>37</v>
      </c>
      <c r="C249" s="79"/>
      <c r="D249" s="45">
        <f>D250</f>
        <v>1588907.33</v>
      </c>
      <c r="E249" s="45">
        <f t="shared" si="102"/>
        <v>9116802</v>
      </c>
      <c r="F249" s="45">
        <f t="shared" si="102"/>
        <v>19700000</v>
      </c>
      <c r="G249" s="25"/>
      <c r="H249" s="13"/>
      <c r="I249" s="13"/>
      <c r="J249" s="13"/>
    </row>
    <row r="250" spans="1:10" s="3" customFormat="1" ht="25.5" x14ac:dyDescent="0.2">
      <c r="A250" s="42" t="s">
        <v>80</v>
      </c>
      <c r="B250" s="110" t="s">
        <v>37</v>
      </c>
      <c r="C250" s="79">
        <v>200</v>
      </c>
      <c r="D250" s="45">
        <f t="shared" ref="D250:F251" si="103">D251</f>
        <v>1588907.33</v>
      </c>
      <c r="E250" s="45">
        <f t="shared" si="103"/>
        <v>9116802</v>
      </c>
      <c r="F250" s="45">
        <f t="shared" si="103"/>
        <v>19700000</v>
      </c>
      <c r="G250" s="25"/>
      <c r="H250" s="13"/>
      <c r="I250" s="13"/>
      <c r="J250" s="13"/>
    </row>
    <row r="251" spans="1:10" s="3" customFormat="1" ht="25.5" x14ac:dyDescent="0.2">
      <c r="A251" s="42" t="s">
        <v>62</v>
      </c>
      <c r="B251" s="110" t="s">
        <v>37</v>
      </c>
      <c r="C251" s="79">
        <v>240</v>
      </c>
      <c r="D251" s="45">
        <f t="shared" si="103"/>
        <v>1588907.33</v>
      </c>
      <c r="E251" s="45">
        <f t="shared" si="103"/>
        <v>9116802</v>
      </c>
      <c r="F251" s="45">
        <f t="shared" si="103"/>
        <v>19700000</v>
      </c>
      <c r="G251" s="25"/>
      <c r="H251" s="13"/>
      <c r="I251" s="13"/>
      <c r="J251" s="13"/>
    </row>
    <row r="252" spans="1:10" s="3" customFormat="1" ht="12.75" x14ac:dyDescent="0.2">
      <c r="A252" s="92" t="s">
        <v>21</v>
      </c>
      <c r="B252" s="110" t="s">
        <v>37</v>
      </c>
      <c r="C252" s="79">
        <v>244</v>
      </c>
      <c r="D252" s="45">
        <f>1493907.33+95000</f>
        <v>1588907.33</v>
      </c>
      <c r="E252" s="45">
        <f>1200000+7916802</f>
        <v>9116802</v>
      </c>
      <c r="F252" s="45">
        <f>1200000+18500000</f>
        <v>19700000</v>
      </c>
      <c r="G252" s="25"/>
      <c r="H252" s="13"/>
      <c r="I252" s="13"/>
      <c r="J252" s="13"/>
    </row>
    <row r="253" spans="1:10" s="3" customFormat="1" ht="12.75" x14ac:dyDescent="0.2">
      <c r="A253" s="42" t="s">
        <v>246</v>
      </c>
      <c r="B253" s="110" t="s">
        <v>33</v>
      </c>
      <c r="C253" s="79"/>
      <c r="D253" s="45">
        <f>D257</f>
        <v>105000</v>
      </c>
      <c r="E253" s="45">
        <f>E257</f>
        <v>105000</v>
      </c>
      <c r="F253" s="45">
        <f>F257</f>
        <v>105000</v>
      </c>
      <c r="G253" s="25"/>
      <c r="H253" s="13"/>
      <c r="I253" s="13"/>
      <c r="J253" s="13"/>
    </row>
    <row r="254" spans="1:10" s="3" customFormat="1" ht="25.5" x14ac:dyDescent="0.2">
      <c r="A254" s="42" t="s">
        <v>66</v>
      </c>
      <c r="B254" s="110" t="s">
        <v>34</v>
      </c>
      <c r="C254" s="79"/>
      <c r="D254" s="45">
        <f>D256</f>
        <v>105000</v>
      </c>
      <c r="E254" s="45">
        <f>E256</f>
        <v>105000</v>
      </c>
      <c r="F254" s="45">
        <f>F256</f>
        <v>105000</v>
      </c>
      <c r="G254" s="25"/>
      <c r="H254" s="13"/>
      <c r="I254" s="13"/>
      <c r="J254" s="13"/>
    </row>
    <row r="255" spans="1:10" s="3" customFormat="1" ht="25.5" x14ac:dyDescent="0.2">
      <c r="A255" s="42" t="s">
        <v>80</v>
      </c>
      <c r="B255" s="110" t="s">
        <v>34</v>
      </c>
      <c r="C255" s="79">
        <v>200</v>
      </c>
      <c r="D255" s="45">
        <f t="shared" ref="D255:F256" si="104">D256</f>
        <v>105000</v>
      </c>
      <c r="E255" s="45">
        <f t="shared" si="104"/>
        <v>105000</v>
      </c>
      <c r="F255" s="45">
        <f t="shared" si="104"/>
        <v>105000</v>
      </c>
      <c r="G255" s="25"/>
      <c r="H255" s="13"/>
      <c r="I255" s="13"/>
      <c r="J255" s="13"/>
    </row>
    <row r="256" spans="1:10" s="3" customFormat="1" ht="25.5" x14ac:dyDescent="0.2">
      <c r="A256" s="42" t="s">
        <v>62</v>
      </c>
      <c r="B256" s="110" t="s">
        <v>34</v>
      </c>
      <c r="C256" s="79">
        <v>240</v>
      </c>
      <c r="D256" s="45">
        <f t="shared" si="104"/>
        <v>105000</v>
      </c>
      <c r="E256" s="45">
        <f t="shared" si="104"/>
        <v>105000</v>
      </c>
      <c r="F256" s="45">
        <f t="shared" si="104"/>
        <v>105000</v>
      </c>
      <c r="G256" s="25"/>
      <c r="H256" s="13"/>
      <c r="I256" s="13"/>
      <c r="J256" s="13"/>
    </row>
    <row r="257" spans="1:10" s="3" customFormat="1" ht="12.75" x14ac:dyDescent="0.2">
      <c r="A257" s="92" t="s">
        <v>21</v>
      </c>
      <c r="B257" s="110" t="s">
        <v>34</v>
      </c>
      <c r="C257" s="79">
        <v>244</v>
      </c>
      <c r="D257" s="45">
        <v>105000</v>
      </c>
      <c r="E257" s="45">
        <v>105000</v>
      </c>
      <c r="F257" s="45">
        <v>105000</v>
      </c>
      <c r="G257" s="25"/>
      <c r="H257" s="13"/>
      <c r="I257" s="13"/>
      <c r="J257" s="13"/>
    </row>
    <row r="258" spans="1:10" s="3" customFormat="1" ht="25.5" hidden="1" x14ac:dyDescent="0.2">
      <c r="A258" s="52" t="s">
        <v>247</v>
      </c>
      <c r="B258" s="110" t="s">
        <v>97</v>
      </c>
      <c r="C258" s="79"/>
      <c r="D258" s="45">
        <f>D262</f>
        <v>105000</v>
      </c>
      <c r="E258" s="45">
        <f t="shared" ref="E258:F258" si="105">E262</f>
        <v>105000</v>
      </c>
      <c r="F258" s="45">
        <f t="shared" si="105"/>
        <v>105000</v>
      </c>
      <c r="G258" s="25"/>
      <c r="H258" s="13"/>
      <c r="I258" s="13"/>
      <c r="J258" s="13"/>
    </row>
    <row r="259" spans="1:10" s="3" customFormat="1" ht="25.5" hidden="1" x14ac:dyDescent="0.2">
      <c r="A259" s="42" t="s">
        <v>66</v>
      </c>
      <c r="B259" s="110" t="s">
        <v>35</v>
      </c>
      <c r="C259" s="79"/>
      <c r="D259" s="45">
        <f>D261</f>
        <v>105000</v>
      </c>
      <c r="E259" s="45">
        <f>E261</f>
        <v>105000</v>
      </c>
      <c r="F259" s="45">
        <f>F261</f>
        <v>105000</v>
      </c>
      <c r="G259" s="25"/>
      <c r="H259" s="13"/>
      <c r="I259" s="13"/>
      <c r="J259" s="13"/>
    </row>
    <row r="260" spans="1:10" s="3" customFormat="1" ht="25.5" hidden="1" x14ac:dyDescent="0.2">
      <c r="A260" s="42" t="s">
        <v>80</v>
      </c>
      <c r="B260" s="110" t="s">
        <v>35</v>
      </c>
      <c r="C260" s="79">
        <v>200</v>
      </c>
      <c r="D260" s="45">
        <f t="shared" ref="D260:F261" si="106">D261</f>
        <v>105000</v>
      </c>
      <c r="E260" s="45">
        <f t="shared" si="106"/>
        <v>105000</v>
      </c>
      <c r="F260" s="45">
        <f t="shared" si="106"/>
        <v>105000</v>
      </c>
      <c r="G260" s="25"/>
      <c r="H260" s="13"/>
      <c r="I260" s="13"/>
      <c r="J260" s="13"/>
    </row>
    <row r="261" spans="1:10" s="3" customFormat="1" ht="25.5" hidden="1" x14ac:dyDescent="0.2">
      <c r="A261" s="42" t="s">
        <v>62</v>
      </c>
      <c r="B261" s="110" t="s">
        <v>35</v>
      </c>
      <c r="C261" s="79">
        <v>240</v>
      </c>
      <c r="D261" s="45">
        <f t="shared" si="106"/>
        <v>105000</v>
      </c>
      <c r="E261" s="45">
        <f t="shared" si="106"/>
        <v>105000</v>
      </c>
      <c r="F261" s="45">
        <f t="shared" si="106"/>
        <v>105000</v>
      </c>
      <c r="G261" s="25"/>
      <c r="H261" s="13"/>
      <c r="I261" s="13"/>
      <c r="J261" s="13"/>
    </row>
    <row r="262" spans="1:10" s="3" customFormat="1" ht="12.75" hidden="1" x14ac:dyDescent="0.2">
      <c r="A262" s="92" t="s">
        <v>21</v>
      </c>
      <c r="B262" s="110" t="s">
        <v>35</v>
      </c>
      <c r="C262" s="79">
        <v>244</v>
      </c>
      <c r="D262" s="45">
        <v>105000</v>
      </c>
      <c r="E262" s="45">
        <v>105000</v>
      </c>
      <c r="F262" s="45">
        <v>105000</v>
      </c>
      <c r="G262" s="25"/>
      <c r="H262" s="13"/>
      <c r="I262" s="13"/>
      <c r="J262" s="13"/>
    </row>
    <row r="263" spans="1:10" s="5" customFormat="1" ht="66.75" customHeight="1" x14ac:dyDescent="0.2">
      <c r="A263" s="56" t="s">
        <v>227</v>
      </c>
      <c r="B263" s="57" t="s">
        <v>10</v>
      </c>
      <c r="C263" s="105"/>
      <c r="D263" s="59">
        <f>D264+D278</f>
        <v>4882249.22</v>
      </c>
      <c r="E263" s="59">
        <f>E264+E278</f>
        <v>4304073.22</v>
      </c>
      <c r="F263" s="59">
        <f>F264+F278</f>
        <v>4304073.22</v>
      </c>
      <c r="G263" s="15"/>
      <c r="H263" s="15"/>
      <c r="I263" s="15"/>
      <c r="J263" s="15"/>
    </row>
    <row r="264" spans="1:10" s="3" customFormat="1" ht="12.75" x14ac:dyDescent="0.2">
      <c r="A264" s="52" t="s">
        <v>248</v>
      </c>
      <c r="B264" s="110" t="s">
        <v>40</v>
      </c>
      <c r="C264" s="79"/>
      <c r="D264" s="45">
        <f>D265</f>
        <v>4453337.05</v>
      </c>
      <c r="E264" s="45">
        <f t="shared" ref="E264:F264" si="107">E265</f>
        <v>3875161.05</v>
      </c>
      <c r="F264" s="45">
        <f t="shared" si="107"/>
        <v>3875161.05</v>
      </c>
      <c r="G264" s="13"/>
      <c r="H264" s="13"/>
      <c r="I264" s="13"/>
      <c r="J264" s="13"/>
    </row>
    <row r="265" spans="1:10" s="3" customFormat="1" ht="12.75" x14ac:dyDescent="0.2">
      <c r="A265" s="52" t="s">
        <v>68</v>
      </c>
      <c r="B265" s="110" t="s">
        <v>41</v>
      </c>
      <c r="C265" s="79"/>
      <c r="D265" s="45">
        <f>D266+D269+D273+D276</f>
        <v>4453337.05</v>
      </c>
      <c r="E265" s="45">
        <f t="shared" ref="E265:F265" si="108">E266+E269+E273+E276</f>
        <v>3875161.05</v>
      </c>
      <c r="F265" s="45">
        <f t="shared" si="108"/>
        <v>3875161.05</v>
      </c>
      <c r="G265" s="13"/>
      <c r="H265" s="13"/>
      <c r="I265" s="13"/>
      <c r="J265" s="13"/>
    </row>
    <row r="266" spans="1:10" s="3" customFormat="1" ht="51" x14ac:dyDescent="0.2">
      <c r="A266" s="42" t="s">
        <v>82</v>
      </c>
      <c r="B266" s="110" t="s">
        <v>41</v>
      </c>
      <c r="C266" s="79">
        <v>100</v>
      </c>
      <c r="D266" s="45">
        <f t="shared" ref="D266:F267" si="109">D267</f>
        <v>860700</v>
      </c>
      <c r="E266" s="45">
        <f t="shared" si="109"/>
        <v>563800</v>
      </c>
      <c r="F266" s="45">
        <f t="shared" si="109"/>
        <v>563800</v>
      </c>
      <c r="G266" s="13"/>
      <c r="H266" s="13"/>
      <c r="I266" s="13"/>
      <c r="J266" s="13"/>
    </row>
    <row r="267" spans="1:10" s="5" customFormat="1" ht="25.5" x14ac:dyDescent="0.2">
      <c r="A267" s="42" t="s">
        <v>69</v>
      </c>
      <c r="B267" s="110" t="s">
        <v>41</v>
      </c>
      <c r="C267" s="79">
        <v>120</v>
      </c>
      <c r="D267" s="45">
        <f t="shared" si="109"/>
        <v>860700</v>
      </c>
      <c r="E267" s="45">
        <f t="shared" si="109"/>
        <v>563800</v>
      </c>
      <c r="F267" s="45">
        <f t="shared" si="109"/>
        <v>563800</v>
      </c>
      <c r="G267" s="15"/>
      <c r="H267" s="15"/>
      <c r="I267" s="15"/>
      <c r="J267" s="15"/>
    </row>
    <row r="268" spans="1:10" s="3" customFormat="1" ht="38.25" x14ac:dyDescent="0.2">
      <c r="A268" s="109" t="s">
        <v>20</v>
      </c>
      <c r="B268" s="110" t="s">
        <v>41</v>
      </c>
      <c r="C268" s="79">
        <v>123</v>
      </c>
      <c r="D268" s="45">
        <v>860700</v>
      </c>
      <c r="E268" s="45">
        <v>563800</v>
      </c>
      <c r="F268" s="45">
        <v>563800</v>
      </c>
      <c r="G268" s="13"/>
      <c r="H268" s="13"/>
      <c r="I268" s="13"/>
      <c r="J268" s="13"/>
    </row>
    <row r="269" spans="1:10" s="2" customFormat="1" ht="25.5" x14ac:dyDescent="0.2">
      <c r="A269" s="42" t="s">
        <v>80</v>
      </c>
      <c r="B269" s="110" t="s">
        <v>41</v>
      </c>
      <c r="C269" s="79">
        <v>200</v>
      </c>
      <c r="D269" s="45">
        <f>D270</f>
        <v>2191713.0499999998</v>
      </c>
      <c r="E269" s="45">
        <f>E270</f>
        <v>1910713.05</v>
      </c>
      <c r="F269" s="45">
        <f>F270</f>
        <v>1910713.05</v>
      </c>
      <c r="G269" s="16"/>
      <c r="H269" s="16"/>
      <c r="I269" s="16"/>
      <c r="J269" s="16"/>
    </row>
    <row r="270" spans="1:10" s="2" customFormat="1" ht="25.5" x14ac:dyDescent="0.2">
      <c r="A270" s="42" t="s">
        <v>62</v>
      </c>
      <c r="B270" s="110" t="s">
        <v>41</v>
      </c>
      <c r="C270" s="79">
        <v>240</v>
      </c>
      <c r="D270" s="45">
        <f>D271+D272</f>
        <v>2191713.0499999998</v>
      </c>
      <c r="E270" s="45">
        <f>E271+E272</f>
        <v>1910713.05</v>
      </c>
      <c r="F270" s="45">
        <f>F271+F272</f>
        <v>1910713.05</v>
      </c>
      <c r="G270" s="16"/>
      <c r="H270" s="16"/>
      <c r="I270" s="16"/>
      <c r="J270" s="16"/>
    </row>
    <row r="271" spans="1:10" s="2" customFormat="1" ht="12.75" x14ac:dyDescent="0.2">
      <c r="A271" s="92" t="s">
        <v>21</v>
      </c>
      <c r="B271" s="110" t="s">
        <v>41</v>
      </c>
      <c r="C271" s="79">
        <v>244</v>
      </c>
      <c r="D271" s="45">
        <f>809500+907140.56+126000+70000</f>
        <v>1912640.56</v>
      </c>
      <c r="E271" s="45">
        <f t="shared" ref="E271:F271" si="110">809500+907140.56</f>
        <v>1716640.56</v>
      </c>
      <c r="F271" s="45">
        <f t="shared" si="110"/>
        <v>1716640.56</v>
      </c>
      <c r="G271" s="16"/>
      <c r="H271" s="16"/>
      <c r="I271" s="16"/>
      <c r="J271" s="16"/>
    </row>
    <row r="272" spans="1:10" s="2" customFormat="1" ht="12.75" x14ac:dyDescent="0.2">
      <c r="A272" s="42" t="s">
        <v>385</v>
      </c>
      <c r="B272" s="40" t="s">
        <v>41</v>
      </c>
      <c r="C272" s="44">
        <v>247</v>
      </c>
      <c r="D272" s="45">
        <f>194072.49+85000</f>
        <v>279072.49</v>
      </c>
      <c r="E272" s="45">
        <v>194072.49</v>
      </c>
      <c r="F272" s="45">
        <v>194072.49</v>
      </c>
      <c r="G272" s="16"/>
      <c r="H272" s="16"/>
      <c r="I272" s="16"/>
      <c r="J272" s="16"/>
    </row>
    <row r="273" spans="1:10" s="3" customFormat="1" ht="25.5" x14ac:dyDescent="0.2">
      <c r="A273" s="73" t="s">
        <v>81</v>
      </c>
      <c r="B273" s="110" t="s">
        <v>41</v>
      </c>
      <c r="C273" s="79">
        <v>600</v>
      </c>
      <c r="D273" s="45">
        <f t="shared" ref="D273:F274" si="111">D274</f>
        <v>1400000</v>
      </c>
      <c r="E273" s="45">
        <f t="shared" si="111"/>
        <v>1400000</v>
      </c>
      <c r="F273" s="45">
        <f t="shared" si="111"/>
        <v>1400000</v>
      </c>
      <c r="G273" s="13"/>
      <c r="H273" s="13"/>
      <c r="I273" s="13"/>
      <c r="J273" s="13"/>
    </row>
    <row r="274" spans="1:10" s="3" customFormat="1" ht="12.75" x14ac:dyDescent="0.2">
      <c r="A274" s="73" t="s">
        <v>49</v>
      </c>
      <c r="B274" s="110" t="s">
        <v>41</v>
      </c>
      <c r="C274" s="79">
        <v>610</v>
      </c>
      <c r="D274" s="45">
        <f t="shared" si="111"/>
        <v>1400000</v>
      </c>
      <c r="E274" s="45">
        <f t="shared" si="111"/>
        <v>1400000</v>
      </c>
      <c r="F274" s="45">
        <f t="shared" si="111"/>
        <v>1400000</v>
      </c>
      <c r="G274" s="13"/>
      <c r="H274" s="13"/>
      <c r="I274" s="13"/>
      <c r="J274" s="13"/>
    </row>
    <row r="275" spans="1:10" s="3" customFormat="1" ht="12.75" x14ac:dyDescent="0.2">
      <c r="A275" s="92" t="s">
        <v>2</v>
      </c>
      <c r="B275" s="110" t="s">
        <v>41</v>
      </c>
      <c r="C275" s="79">
        <v>612</v>
      </c>
      <c r="D275" s="45">
        <v>1400000</v>
      </c>
      <c r="E275" s="45">
        <v>1400000</v>
      </c>
      <c r="F275" s="45">
        <v>1400000</v>
      </c>
      <c r="G275" s="13"/>
      <c r="H275" s="13"/>
      <c r="I275" s="13"/>
      <c r="J275" s="13"/>
    </row>
    <row r="276" spans="1:10" s="11" customFormat="1" ht="12.75" x14ac:dyDescent="0.2">
      <c r="A276" s="92" t="s">
        <v>169</v>
      </c>
      <c r="B276" s="110" t="s">
        <v>41</v>
      </c>
      <c r="C276" s="79">
        <v>800</v>
      </c>
      <c r="D276" s="45">
        <f>D277</f>
        <v>924</v>
      </c>
      <c r="E276" s="45">
        <f t="shared" ref="E276:F276" si="112">E277</f>
        <v>648</v>
      </c>
      <c r="F276" s="45">
        <f t="shared" si="112"/>
        <v>648</v>
      </c>
      <c r="G276" s="13"/>
      <c r="H276" s="13"/>
      <c r="I276" s="13"/>
      <c r="J276" s="13"/>
    </row>
    <row r="277" spans="1:10" s="11" customFormat="1" ht="12.75" x14ac:dyDescent="0.2">
      <c r="A277" s="92" t="s">
        <v>159</v>
      </c>
      <c r="B277" s="110" t="s">
        <v>41</v>
      </c>
      <c r="C277" s="79">
        <v>850</v>
      </c>
      <c r="D277" s="45">
        <f>648+276</f>
        <v>924</v>
      </c>
      <c r="E277" s="45">
        <v>648</v>
      </c>
      <c r="F277" s="45">
        <v>648</v>
      </c>
      <c r="G277" s="13"/>
      <c r="H277" s="13"/>
      <c r="I277" s="13"/>
      <c r="J277" s="13"/>
    </row>
    <row r="278" spans="1:10" s="5" customFormat="1" ht="12.75" x14ac:dyDescent="0.2">
      <c r="A278" s="42" t="s">
        <v>249</v>
      </c>
      <c r="B278" s="110" t="s">
        <v>38</v>
      </c>
      <c r="C278" s="79"/>
      <c r="D278" s="45">
        <f>D279+D282</f>
        <v>428912.17000000004</v>
      </c>
      <c r="E278" s="45">
        <f t="shared" ref="E278:F278" si="113">E279+E282</f>
        <v>428912.17000000004</v>
      </c>
      <c r="F278" s="45">
        <f t="shared" si="113"/>
        <v>428912.17000000004</v>
      </c>
      <c r="G278" s="15"/>
      <c r="H278" s="15"/>
      <c r="I278" s="15"/>
      <c r="J278" s="15"/>
    </row>
    <row r="279" spans="1:10" s="3" customFormat="1" ht="36" customHeight="1" x14ac:dyDescent="0.2">
      <c r="A279" s="42" t="s">
        <v>80</v>
      </c>
      <c r="B279" s="110" t="s">
        <v>39</v>
      </c>
      <c r="C279" s="79">
        <v>200</v>
      </c>
      <c r="D279" s="45">
        <f t="shared" ref="D279:F284" si="114">D280</f>
        <v>257000</v>
      </c>
      <c r="E279" s="45">
        <f t="shared" si="114"/>
        <v>257000</v>
      </c>
      <c r="F279" s="45">
        <f t="shared" si="114"/>
        <v>257000</v>
      </c>
      <c r="G279" s="13"/>
      <c r="H279" s="13"/>
      <c r="I279" s="13"/>
      <c r="J279" s="13"/>
    </row>
    <row r="280" spans="1:10" s="3" customFormat="1" ht="25.5" x14ac:dyDescent="0.2">
      <c r="A280" s="42" t="s">
        <v>62</v>
      </c>
      <c r="B280" s="110" t="s">
        <v>39</v>
      </c>
      <c r="C280" s="79">
        <v>240</v>
      </c>
      <c r="D280" s="45">
        <f t="shared" si="114"/>
        <v>257000</v>
      </c>
      <c r="E280" s="45">
        <f t="shared" si="114"/>
        <v>257000</v>
      </c>
      <c r="F280" s="45">
        <f t="shared" si="114"/>
        <v>257000</v>
      </c>
      <c r="G280" s="13"/>
      <c r="H280" s="13"/>
      <c r="I280" s="13"/>
      <c r="J280" s="13"/>
    </row>
    <row r="281" spans="1:10" s="3" customFormat="1" ht="12.75" x14ac:dyDescent="0.2">
      <c r="A281" s="112" t="s">
        <v>21</v>
      </c>
      <c r="B281" s="110" t="s">
        <v>39</v>
      </c>
      <c r="C281" s="79">
        <v>244</v>
      </c>
      <c r="D281" s="45">
        <v>257000</v>
      </c>
      <c r="E281" s="45">
        <v>257000</v>
      </c>
      <c r="F281" s="45">
        <v>257000</v>
      </c>
      <c r="G281" s="13"/>
      <c r="H281" s="13"/>
      <c r="I281" s="13"/>
      <c r="J281" s="13"/>
    </row>
    <row r="282" spans="1:10" s="3" customFormat="1" ht="38.25" x14ac:dyDescent="0.2">
      <c r="A282" s="42" t="s">
        <v>387</v>
      </c>
      <c r="B282" s="40" t="s">
        <v>386</v>
      </c>
      <c r="C282" s="40"/>
      <c r="D282" s="45">
        <f>D283</f>
        <v>171912.17</v>
      </c>
      <c r="E282" s="45">
        <f t="shared" ref="E282:F282" si="115">E283</f>
        <v>171912.17</v>
      </c>
      <c r="F282" s="45">
        <f t="shared" si="115"/>
        <v>171912.17</v>
      </c>
      <c r="G282" s="13"/>
      <c r="H282" s="13"/>
      <c r="I282" s="13"/>
      <c r="J282" s="13"/>
    </row>
    <row r="283" spans="1:10" s="3" customFormat="1" ht="36" customHeight="1" x14ac:dyDescent="0.2">
      <c r="A283" s="42" t="s">
        <v>81</v>
      </c>
      <c r="B283" s="40" t="s">
        <v>386</v>
      </c>
      <c r="C283" s="40">
        <v>600</v>
      </c>
      <c r="D283" s="45">
        <f t="shared" si="114"/>
        <v>171912.17</v>
      </c>
      <c r="E283" s="45">
        <f t="shared" si="114"/>
        <v>171912.17</v>
      </c>
      <c r="F283" s="45">
        <f t="shared" si="114"/>
        <v>171912.17</v>
      </c>
      <c r="G283" s="13"/>
      <c r="H283" s="13"/>
      <c r="I283" s="13"/>
      <c r="J283" s="13"/>
    </row>
    <row r="284" spans="1:10" s="3" customFormat="1" ht="12.75" x14ac:dyDescent="0.2">
      <c r="A284" s="42" t="s">
        <v>49</v>
      </c>
      <c r="B284" s="40" t="s">
        <v>386</v>
      </c>
      <c r="C284" s="40">
        <v>610</v>
      </c>
      <c r="D284" s="45">
        <f t="shared" si="114"/>
        <v>171912.17</v>
      </c>
      <c r="E284" s="45">
        <f t="shared" si="114"/>
        <v>171912.17</v>
      </c>
      <c r="F284" s="45">
        <f t="shared" si="114"/>
        <v>171912.17</v>
      </c>
      <c r="G284" s="13"/>
      <c r="H284" s="13"/>
      <c r="I284" s="13"/>
      <c r="J284" s="13"/>
    </row>
    <row r="285" spans="1:10" s="3" customFormat="1" ht="12.75" x14ac:dyDescent="0.2">
      <c r="A285" s="42" t="s">
        <v>2</v>
      </c>
      <c r="B285" s="40" t="s">
        <v>386</v>
      </c>
      <c r="C285" s="40">
        <v>612</v>
      </c>
      <c r="D285" s="45">
        <v>171912.17</v>
      </c>
      <c r="E285" s="45">
        <v>171912.17</v>
      </c>
      <c r="F285" s="45">
        <v>171912.17</v>
      </c>
      <c r="G285" s="13"/>
      <c r="H285" s="13"/>
      <c r="I285" s="13"/>
      <c r="J285" s="13"/>
    </row>
    <row r="286" spans="1:10" s="33" customFormat="1" ht="66.75" customHeight="1" x14ac:dyDescent="0.2">
      <c r="A286" s="56" t="s">
        <v>228</v>
      </c>
      <c r="B286" s="57" t="s">
        <v>11</v>
      </c>
      <c r="C286" s="58"/>
      <c r="D286" s="59">
        <v>0</v>
      </c>
      <c r="E286" s="59">
        <v>0</v>
      </c>
      <c r="F286" s="59">
        <v>0</v>
      </c>
    </row>
    <row r="287" spans="1:10" s="5" customFormat="1" ht="66.75" customHeight="1" x14ac:dyDescent="0.2">
      <c r="A287" s="56" t="s">
        <v>229</v>
      </c>
      <c r="B287" s="57" t="s">
        <v>12</v>
      </c>
      <c r="C287" s="58"/>
      <c r="D287" s="59">
        <f>D288+D293+D297+D301</f>
        <v>13454112.859999999</v>
      </c>
      <c r="E287" s="59">
        <f t="shared" ref="E287:F287" si="116">E288+E293+E297+E301</f>
        <v>10252112.859999999</v>
      </c>
      <c r="F287" s="59">
        <f t="shared" si="116"/>
        <v>10252112.859999999</v>
      </c>
      <c r="G287" s="15"/>
      <c r="H287" s="15"/>
      <c r="I287" s="15"/>
      <c r="J287" s="15"/>
    </row>
    <row r="288" spans="1:10" s="3" customFormat="1" ht="12.75" x14ac:dyDescent="0.2">
      <c r="A288" s="52" t="s">
        <v>70</v>
      </c>
      <c r="B288" s="110" t="s">
        <v>42</v>
      </c>
      <c r="C288" s="72"/>
      <c r="D288" s="45">
        <f>D290</f>
        <v>5100316.8000000007</v>
      </c>
      <c r="E288" s="45">
        <f>E290</f>
        <v>5100316.8000000007</v>
      </c>
      <c r="F288" s="45">
        <f>F290</f>
        <v>5100316.8000000007</v>
      </c>
      <c r="G288" s="13"/>
      <c r="H288" s="13"/>
      <c r="I288" s="13"/>
      <c r="J288" s="13"/>
    </row>
    <row r="289" spans="1:10" s="3" customFormat="1" ht="25.5" x14ac:dyDescent="0.2">
      <c r="A289" s="42" t="s">
        <v>80</v>
      </c>
      <c r="B289" s="110" t="s">
        <v>42</v>
      </c>
      <c r="C289" s="79">
        <v>200</v>
      </c>
      <c r="D289" s="45">
        <f>D290</f>
        <v>5100316.8000000007</v>
      </c>
      <c r="E289" s="45">
        <f>E290</f>
        <v>5100316.8000000007</v>
      </c>
      <c r="F289" s="45">
        <f>F290</f>
        <v>5100316.8000000007</v>
      </c>
      <c r="G289" s="13"/>
      <c r="H289" s="13"/>
      <c r="I289" s="13"/>
      <c r="J289" s="13"/>
    </row>
    <row r="290" spans="1:10" s="3" customFormat="1" ht="25.5" x14ac:dyDescent="0.2">
      <c r="A290" s="42" t="s">
        <v>62</v>
      </c>
      <c r="B290" s="110" t="s">
        <v>42</v>
      </c>
      <c r="C290" s="79">
        <v>240</v>
      </c>
      <c r="D290" s="45">
        <f>D292+D291</f>
        <v>5100316.8000000007</v>
      </c>
      <c r="E290" s="45">
        <f>E292+E291</f>
        <v>5100316.8000000007</v>
      </c>
      <c r="F290" s="45">
        <f>F292+F291</f>
        <v>5100316.8000000007</v>
      </c>
      <c r="G290" s="13"/>
      <c r="H290" s="13"/>
      <c r="I290" s="13"/>
      <c r="J290" s="13"/>
    </row>
    <row r="291" spans="1:10" s="3" customFormat="1" ht="36.75" customHeight="1" x14ac:dyDescent="0.2">
      <c r="A291" s="84" t="s">
        <v>344</v>
      </c>
      <c r="B291" s="40" t="s">
        <v>42</v>
      </c>
      <c r="C291" s="51" t="s">
        <v>345</v>
      </c>
      <c r="D291" s="45">
        <v>0</v>
      </c>
      <c r="E291" s="45">
        <v>0</v>
      </c>
      <c r="F291" s="45">
        <v>0</v>
      </c>
      <c r="G291" s="13"/>
      <c r="H291" s="13"/>
      <c r="I291" s="13"/>
      <c r="J291" s="13"/>
    </row>
    <row r="292" spans="1:10" s="3" customFormat="1" ht="12.75" x14ac:dyDescent="0.2">
      <c r="A292" s="92" t="s">
        <v>21</v>
      </c>
      <c r="B292" s="110" t="s">
        <v>42</v>
      </c>
      <c r="C292" s="79">
        <v>244</v>
      </c>
      <c r="D292" s="45">
        <v>5100316.8000000007</v>
      </c>
      <c r="E292" s="45">
        <v>5100316.8000000007</v>
      </c>
      <c r="F292" s="45">
        <v>5100316.8000000007</v>
      </c>
      <c r="G292" s="13"/>
      <c r="H292" s="13"/>
      <c r="I292" s="13"/>
      <c r="J292" s="13"/>
    </row>
    <row r="293" spans="1:10" s="3" customFormat="1" ht="63.75" x14ac:dyDescent="0.2">
      <c r="A293" s="52" t="s">
        <v>415</v>
      </c>
      <c r="B293" s="40" t="s">
        <v>346</v>
      </c>
      <c r="C293" s="64"/>
      <c r="D293" s="66">
        <f t="shared" ref="D293:F295" si="117">D294</f>
        <v>4949406.22</v>
      </c>
      <c r="E293" s="66">
        <f t="shared" si="117"/>
        <v>4949406.22</v>
      </c>
      <c r="F293" s="66">
        <f t="shared" si="117"/>
        <v>4949406.22</v>
      </c>
      <c r="G293" s="13"/>
      <c r="H293" s="13"/>
      <c r="I293" s="13"/>
      <c r="J293" s="13"/>
    </row>
    <row r="294" spans="1:10" s="3" customFormat="1" ht="12.75" x14ac:dyDescent="0.2">
      <c r="A294" s="52" t="s">
        <v>169</v>
      </c>
      <c r="B294" s="40" t="s">
        <v>346</v>
      </c>
      <c r="C294" s="64" t="s">
        <v>191</v>
      </c>
      <c r="D294" s="66">
        <f t="shared" si="117"/>
        <v>4949406.22</v>
      </c>
      <c r="E294" s="66">
        <f t="shared" si="117"/>
        <v>4949406.22</v>
      </c>
      <c r="F294" s="66">
        <f t="shared" si="117"/>
        <v>4949406.22</v>
      </c>
      <c r="G294" s="13"/>
      <c r="H294" s="13"/>
      <c r="I294" s="13"/>
      <c r="J294" s="13"/>
    </row>
    <row r="295" spans="1:10" s="3" customFormat="1" ht="38.25" x14ac:dyDescent="0.2">
      <c r="A295" s="52" t="s">
        <v>206</v>
      </c>
      <c r="B295" s="40" t="s">
        <v>346</v>
      </c>
      <c r="C295" s="64" t="s">
        <v>207</v>
      </c>
      <c r="D295" s="66">
        <f t="shared" si="117"/>
        <v>4949406.22</v>
      </c>
      <c r="E295" s="66">
        <f t="shared" si="117"/>
        <v>4949406.22</v>
      </c>
      <c r="F295" s="66">
        <f t="shared" si="117"/>
        <v>4949406.22</v>
      </c>
      <c r="G295" s="13"/>
      <c r="H295" s="13"/>
      <c r="I295" s="13"/>
      <c r="J295" s="13"/>
    </row>
    <row r="296" spans="1:10" s="3" customFormat="1" ht="51" x14ac:dyDescent="0.2">
      <c r="A296" s="42" t="s">
        <v>208</v>
      </c>
      <c r="B296" s="40" t="s">
        <v>346</v>
      </c>
      <c r="C296" s="67" t="s">
        <v>209</v>
      </c>
      <c r="D296" s="66">
        <v>4949406.22</v>
      </c>
      <c r="E296" s="66">
        <v>4949406.22</v>
      </c>
      <c r="F296" s="66">
        <v>4949406.22</v>
      </c>
      <c r="G296" s="13"/>
      <c r="H296" s="13"/>
      <c r="I296" s="13"/>
      <c r="J296" s="13"/>
    </row>
    <row r="297" spans="1:10" s="3" customFormat="1" ht="118.5" customHeight="1" x14ac:dyDescent="0.2">
      <c r="A297" s="42" t="s">
        <v>418</v>
      </c>
      <c r="B297" s="113" t="s">
        <v>390</v>
      </c>
      <c r="C297" s="67"/>
      <c r="D297" s="66">
        <f t="shared" ref="D297:D298" si="118">D298</f>
        <v>202389.84</v>
      </c>
      <c r="E297" s="66">
        <f t="shared" ref="E297:E298" si="119">E298</f>
        <v>202389.84</v>
      </c>
      <c r="F297" s="66">
        <f t="shared" ref="F297:F298" si="120">F298</f>
        <v>202389.84</v>
      </c>
      <c r="G297" s="13"/>
      <c r="H297" s="13"/>
      <c r="I297" s="13"/>
      <c r="J297" s="13"/>
    </row>
    <row r="298" spans="1:10" s="3" customFormat="1" ht="12.75" x14ac:dyDescent="0.2">
      <c r="A298" s="42" t="s">
        <v>169</v>
      </c>
      <c r="B298" s="113" t="s">
        <v>390</v>
      </c>
      <c r="C298" s="67" t="s">
        <v>191</v>
      </c>
      <c r="D298" s="66">
        <f t="shared" si="118"/>
        <v>202389.84</v>
      </c>
      <c r="E298" s="66">
        <f t="shared" si="119"/>
        <v>202389.84</v>
      </c>
      <c r="F298" s="66">
        <f t="shared" si="120"/>
        <v>202389.84</v>
      </c>
      <c r="G298" s="13"/>
      <c r="H298" s="13"/>
      <c r="I298" s="13"/>
      <c r="J298" s="13"/>
    </row>
    <row r="299" spans="1:10" s="3" customFormat="1" ht="38.25" x14ac:dyDescent="0.2">
      <c r="A299" s="42" t="s">
        <v>206</v>
      </c>
      <c r="B299" s="113" t="s">
        <v>390</v>
      </c>
      <c r="C299" s="67" t="s">
        <v>207</v>
      </c>
      <c r="D299" s="66">
        <f>D300</f>
        <v>202389.84</v>
      </c>
      <c r="E299" s="66">
        <f t="shared" ref="E299:F299" si="121">E300</f>
        <v>202389.84</v>
      </c>
      <c r="F299" s="66">
        <f t="shared" si="121"/>
        <v>202389.84</v>
      </c>
      <c r="G299" s="13"/>
      <c r="H299" s="13"/>
      <c r="I299" s="13"/>
      <c r="J299" s="13"/>
    </row>
    <row r="300" spans="1:10" s="3" customFormat="1" ht="51" x14ac:dyDescent="0.2">
      <c r="A300" s="42" t="s">
        <v>208</v>
      </c>
      <c r="B300" s="113" t="s">
        <v>390</v>
      </c>
      <c r="C300" s="67" t="s">
        <v>209</v>
      </c>
      <c r="D300" s="66">
        <v>202389.84</v>
      </c>
      <c r="E300" s="66">
        <v>202389.84</v>
      </c>
      <c r="F300" s="66">
        <v>202389.84</v>
      </c>
      <c r="G300" s="13"/>
      <c r="H300" s="13"/>
      <c r="I300" s="13"/>
      <c r="J300" s="13"/>
    </row>
    <row r="301" spans="1:10" s="3" customFormat="1" ht="95.25" customHeight="1" x14ac:dyDescent="0.2">
      <c r="A301" s="42" t="s">
        <v>461</v>
      </c>
      <c r="B301" s="113" t="s">
        <v>457</v>
      </c>
      <c r="C301" s="67"/>
      <c r="D301" s="66">
        <f t="shared" ref="D301:D302" si="122">D302</f>
        <v>3202000</v>
      </c>
      <c r="E301" s="66">
        <f t="shared" ref="E301:E302" si="123">E302</f>
        <v>0</v>
      </c>
      <c r="F301" s="66">
        <f t="shared" ref="F301:F302" si="124">F302</f>
        <v>0</v>
      </c>
      <c r="G301" s="13"/>
      <c r="H301" s="13"/>
      <c r="I301" s="13"/>
      <c r="J301" s="13"/>
    </row>
    <row r="302" spans="1:10" s="3" customFormat="1" ht="25.5" x14ac:dyDescent="0.2">
      <c r="A302" s="42" t="s">
        <v>80</v>
      </c>
      <c r="B302" s="113" t="s">
        <v>457</v>
      </c>
      <c r="C302" s="67" t="s">
        <v>103</v>
      </c>
      <c r="D302" s="66">
        <f t="shared" si="122"/>
        <v>3202000</v>
      </c>
      <c r="E302" s="66">
        <f t="shared" si="123"/>
        <v>0</v>
      </c>
      <c r="F302" s="66">
        <f t="shared" si="124"/>
        <v>0</v>
      </c>
      <c r="G302" s="13"/>
      <c r="H302" s="13"/>
      <c r="I302" s="13"/>
      <c r="J302" s="13"/>
    </row>
    <row r="303" spans="1:10" s="3" customFormat="1" ht="25.5" x14ac:dyDescent="0.2">
      <c r="A303" s="42" t="s">
        <v>62</v>
      </c>
      <c r="B303" s="113" t="s">
        <v>457</v>
      </c>
      <c r="C303" s="67" t="s">
        <v>104</v>
      </c>
      <c r="D303" s="66">
        <f>D304</f>
        <v>3202000</v>
      </c>
      <c r="E303" s="66">
        <f t="shared" ref="E303:F303" si="125">E304</f>
        <v>0</v>
      </c>
      <c r="F303" s="66">
        <f t="shared" si="125"/>
        <v>0</v>
      </c>
      <c r="G303" s="13"/>
      <c r="H303" s="13"/>
      <c r="I303" s="13"/>
      <c r="J303" s="13"/>
    </row>
    <row r="304" spans="1:10" s="3" customFormat="1" ht="25.5" x14ac:dyDescent="0.2">
      <c r="A304" s="84" t="s">
        <v>344</v>
      </c>
      <c r="B304" s="113" t="s">
        <v>457</v>
      </c>
      <c r="C304" s="67" t="s">
        <v>345</v>
      </c>
      <c r="D304" s="66">
        <v>3202000</v>
      </c>
      <c r="E304" s="66"/>
      <c r="F304" s="66"/>
      <c r="G304" s="13"/>
      <c r="H304" s="13"/>
      <c r="I304" s="13"/>
      <c r="J304" s="13"/>
    </row>
    <row r="305" spans="1:10" s="5" customFormat="1" ht="66.75" customHeight="1" x14ac:dyDescent="0.2">
      <c r="A305" s="114" t="s">
        <v>230</v>
      </c>
      <c r="B305" s="57" t="s">
        <v>13</v>
      </c>
      <c r="C305" s="58"/>
      <c r="D305" s="59">
        <f>D306</f>
        <v>35000</v>
      </c>
      <c r="E305" s="59">
        <f>E306</f>
        <v>35000</v>
      </c>
      <c r="F305" s="59">
        <f>F306</f>
        <v>35000</v>
      </c>
      <c r="G305" s="15"/>
      <c r="H305" s="15"/>
      <c r="I305" s="15"/>
      <c r="J305" s="15"/>
    </row>
    <row r="306" spans="1:10" s="3" customFormat="1" ht="25.5" x14ac:dyDescent="0.2">
      <c r="A306" s="115" t="s">
        <v>359</v>
      </c>
      <c r="B306" s="64" t="s">
        <v>347</v>
      </c>
      <c r="C306" s="72"/>
      <c r="D306" s="50">
        <f>D308</f>
        <v>35000</v>
      </c>
      <c r="E306" s="45">
        <f>E308</f>
        <v>35000</v>
      </c>
      <c r="F306" s="45">
        <f>F308</f>
        <v>35000</v>
      </c>
      <c r="G306" s="13"/>
      <c r="H306" s="13"/>
      <c r="I306" s="13"/>
      <c r="J306" s="13"/>
    </row>
    <row r="307" spans="1:10" s="3" customFormat="1" ht="25.5" x14ac:dyDescent="0.2">
      <c r="A307" s="73" t="s">
        <v>80</v>
      </c>
      <c r="B307" s="64" t="s">
        <v>347</v>
      </c>
      <c r="C307" s="79" t="s">
        <v>103</v>
      </c>
      <c r="D307" s="50">
        <f t="shared" ref="D307:F308" si="126">SUM(D308)</f>
        <v>35000</v>
      </c>
      <c r="E307" s="45">
        <f t="shared" si="126"/>
        <v>35000</v>
      </c>
      <c r="F307" s="45">
        <f t="shared" si="126"/>
        <v>35000</v>
      </c>
      <c r="G307" s="13"/>
      <c r="H307" s="13"/>
      <c r="I307" s="13"/>
      <c r="J307" s="13"/>
    </row>
    <row r="308" spans="1:10" s="3" customFormat="1" ht="25.5" x14ac:dyDescent="0.2">
      <c r="A308" s="73" t="s">
        <v>62</v>
      </c>
      <c r="B308" s="64" t="s">
        <v>347</v>
      </c>
      <c r="C308" s="79" t="s">
        <v>104</v>
      </c>
      <c r="D308" s="50">
        <f t="shared" si="126"/>
        <v>35000</v>
      </c>
      <c r="E308" s="45">
        <f t="shared" si="126"/>
        <v>35000</v>
      </c>
      <c r="F308" s="45">
        <f t="shared" si="126"/>
        <v>35000</v>
      </c>
      <c r="G308" s="13"/>
      <c r="H308" s="13"/>
      <c r="I308" s="13"/>
      <c r="J308" s="13"/>
    </row>
    <row r="309" spans="1:10" s="3" customFormat="1" ht="12.75" x14ac:dyDescent="0.2">
      <c r="A309" s="73" t="s">
        <v>21</v>
      </c>
      <c r="B309" s="64" t="s">
        <v>347</v>
      </c>
      <c r="C309" s="79" t="s">
        <v>65</v>
      </c>
      <c r="D309" s="50">
        <v>35000</v>
      </c>
      <c r="E309" s="45">
        <v>35000</v>
      </c>
      <c r="F309" s="45">
        <v>35000</v>
      </c>
      <c r="G309" s="13"/>
      <c r="H309" s="13"/>
      <c r="I309" s="13"/>
      <c r="J309" s="13"/>
    </row>
    <row r="310" spans="1:10" s="5" customFormat="1" ht="27" x14ac:dyDescent="0.2">
      <c r="A310" s="56" t="s">
        <v>231</v>
      </c>
      <c r="B310" s="57" t="s">
        <v>14</v>
      </c>
      <c r="C310" s="105"/>
      <c r="D310" s="59">
        <f>D311</f>
        <v>2381238.31</v>
      </c>
      <c r="E310" s="59">
        <f t="shared" ref="E310:F311" si="127">E311</f>
        <v>144000</v>
      </c>
      <c r="F310" s="59">
        <f t="shared" si="127"/>
        <v>144000</v>
      </c>
      <c r="G310" s="15"/>
      <c r="H310" s="15"/>
      <c r="I310" s="15"/>
      <c r="J310" s="15"/>
    </row>
    <row r="311" spans="1:10" s="5" customFormat="1" ht="44.25" customHeight="1" x14ac:dyDescent="0.2">
      <c r="A311" s="94" t="s">
        <v>237</v>
      </c>
      <c r="B311" s="64" t="s">
        <v>238</v>
      </c>
      <c r="C311" s="79"/>
      <c r="D311" s="45">
        <f>D312</f>
        <v>2381238.31</v>
      </c>
      <c r="E311" s="45">
        <f t="shared" si="127"/>
        <v>144000</v>
      </c>
      <c r="F311" s="45">
        <f t="shared" si="127"/>
        <v>144000</v>
      </c>
      <c r="G311" s="15"/>
      <c r="H311" s="15"/>
      <c r="I311" s="15"/>
      <c r="J311" s="15"/>
    </row>
    <row r="312" spans="1:10" s="3" customFormat="1" ht="25.5" x14ac:dyDescent="0.2">
      <c r="A312" s="116" t="s">
        <v>71</v>
      </c>
      <c r="B312" s="117" t="s">
        <v>379</v>
      </c>
      <c r="C312" s="79"/>
      <c r="D312" s="45">
        <f t="shared" ref="D312:D313" si="128">D313</f>
        <v>2381238.31</v>
      </c>
      <c r="E312" s="45">
        <f t="shared" ref="E312:E313" si="129">E313</f>
        <v>144000</v>
      </c>
      <c r="F312" s="45">
        <f t="shared" ref="F312:F313" si="130">F313</f>
        <v>144000</v>
      </c>
      <c r="G312" s="13"/>
      <c r="H312" s="13"/>
      <c r="I312" s="13"/>
      <c r="J312" s="13"/>
    </row>
    <row r="313" spans="1:10" s="3" customFormat="1" ht="12.75" x14ac:dyDescent="0.2">
      <c r="A313" s="118" t="s">
        <v>84</v>
      </c>
      <c r="B313" s="117" t="s">
        <v>379</v>
      </c>
      <c r="C313" s="79">
        <v>300</v>
      </c>
      <c r="D313" s="45">
        <f t="shared" si="128"/>
        <v>2381238.31</v>
      </c>
      <c r="E313" s="45">
        <f t="shared" si="129"/>
        <v>144000</v>
      </c>
      <c r="F313" s="45">
        <f t="shared" si="130"/>
        <v>144000</v>
      </c>
      <c r="G313" s="13"/>
      <c r="H313" s="13"/>
      <c r="I313" s="13"/>
      <c r="J313" s="13"/>
    </row>
    <row r="314" spans="1:10" s="3" customFormat="1" ht="25.5" x14ac:dyDescent="0.2">
      <c r="A314" s="116" t="s">
        <v>72</v>
      </c>
      <c r="B314" s="117" t="s">
        <v>379</v>
      </c>
      <c r="C314" s="79">
        <v>320</v>
      </c>
      <c r="D314" s="45">
        <f>D315</f>
        <v>2381238.31</v>
      </c>
      <c r="E314" s="45">
        <f t="shared" ref="E314:F314" si="131">E315</f>
        <v>144000</v>
      </c>
      <c r="F314" s="45">
        <f t="shared" si="131"/>
        <v>144000</v>
      </c>
      <c r="G314" s="13"/>
      <c r="H314" s="13"/>
      <c r="I314" s="13"/>
      <c r="J314" s="13"/>
    </row>
    <row r="315" spans="1:10" s="3" customFormat="1" ht="12.75" x14ac:dyDescent="0.2">
      <c r="A315" s="118" t="s">
        <v>3</v>
      </c>
      <c r="B315" s="117" t="s">
        <v>379</v>
      </c>
      <c r="C315" s="79">
        <v>322</v>
      </c>
      <c r="D315" s="45">
        <f>144000+2237238.31</f>
        <v>2381238.31</v>
      </c>
      <c r="E315" s="45">
        <v>144000</v>
      </c>
      <c r="F315" s="45">
        <v>144000</v>
      </c>
      <c r="G315" s="13"/>
      <c r="H315" s="13"/>
      <c r="I315" s="13"/>
      <c r="J315" s="13"/>
    </row>
    <row r="316" spans="1:10" s="5" customFormat="1" ht="92.25" customHeight="1" x14ac:dyDescent="0.2">
      <c r="A316" s="56" t="s">
        <v>232</v>
      </c>
      <c r="B316" s="57" t="s">
        <v>15</v>
      </c>
      <c r="C316" s="105"/>
      <c r="D316" s="45">
        <f>D317+D322</f>
        <v>30000</v>
      </c>
      <c r="E316" s="45">
        <f t="shared" ref="E316:F316" si="132">E317+E322</f>
        <v>30000</v>
      </c>
      <c r="F316" s="45">
        <f t="shared" si="132"/>
        <v>30000</v>
      </c>
      <c r="G316" s="15"/>
      <c r="H316" s="15"/>
      <c r="I316" s="15"/>
      <c r="J316" s="15"/>
    </row>
    <row r="317" spans="1:10" s="4" customFormat="1" ht="33.75" customHeight="1" x14ac:dyDescent="0.2">
      <c r="A317" s="119" t="s">
        <v>275</v>
      </c>
      <c r="B317" s="120" t="s">
        <v>276</v>
      </c>
      <c r="C317" s="108"/>
      <c r="D317" s="45">
        <f t="shared" ref="D317:F320" si="133">D318</f>
        <v>15000</v>
      </c>
      <c r="E317" s="45">
        <f t="shared" si="133"/>
        <v>15000</v>
      </c>
      <c r="F317" s="45">
        <f t="shared" si="133"/>
        <v>15000</v>
      </c>
      <c r="G317" s="17"/>
      <c r="H317" s="17"/>
      <c r="I317" s="17"/>
      <c r="J317" s="17"/>
    </row>
    <row r="318" spans="1:10" s="3" customFormat="1" ht="29.25" customHeight="1" x14ac:dyDescent="0.2">
      <c r="A318" s="42" t="s">
        <v>73</v>
      </c>
      <c r="B318" s="117" t="s">
        <v>277</v>
      </c>
      <c r="C318" s="79"/>
      <c r="D318" s="45">
        <f t="shared" si="133"/>
        <v>15000</v>
      </c>
      <c r="E318" s="45">
        <f t="shared" si="133"/>
        <v>15000</v>
      </c>
      <c r="F318" s="45">
        <f t="shared" si="133"/>
        <v>15000</v>
      </c>
      <c r="G318" s="13"/>
      <c r="H318" s="13"/>
      <c r="I318" s="13"/>
      <c r="J318" s="13"/>
    </row>
    <row r="319" spans="1:10" s="3" customFormat="1" ht="25.5" customHeight="1" x14ac:dyDescent="0.2">
      <c r="A319" s="42" t="s">
        <v>80</v>
      </c>
      <c r="B319" s="117" t="s">
        <v>277</v>
      </c>
      <c r="C319" s="79">
        <v>200</v>
      </c>
      <c r="D319" s="45">
        <f t="shared" si="133"/>
        <v>15000</v>
      </c>
      <c r="E319" s="45">
        <f t="shared" si="133"/>
        <v>15000</v>
      </c>
      <c r="F319" s="45">
        <f t="shared" si="133"/>
        <v>15000</v>
      </c>
      <c r="G319" s="13"/>
      <c r="H319" s="13"/>
      <c r="I319" s="13"/>
      <c r="J319" s="13"/>
    </row>
    <row r="320" spans="1:10" s="3" customFormat="1" ht="27" customHeight="1" x14ac:dyDescent="0.2">
      <c r="A320" s="92" t="s">
        <v>62</v>
      </c>
      <c r="B320" s="117" t="s">
        <v>277</v>
      </c>
      <c r="C320" s="79">
        <v>240</v>
      </c>
      <c r="D320" s="45">
        <f t="shared" si="133"/>
        <v>15000</v>
      </c>
      <c r="E320" s="45">
        <f t="shared" si="133"/>
        <v>15000</v>
      </c>
      <c r="F320" s="45">
        <f t="shared" si="133"/>
        <v>15000</v>
      </c>
      <c r="G320" s="13"/>
      <c r="H320" s="13"/>
      <c r="I320" s="13"/>
      <c r="J320" s="13"/>
    </row>
    <row r="321" spans="1:10" s="3" customFormat="1" ht="26.25" customHeight="1" x14ac:dyDescent="0.2">
      <c r="A321" s="42" t="s">
        <v>21</v>
      </c>
      <c r="B321" s="117" t="s">
        <v>277</v>
      </c>
      <c r="C321" s="79" t="s">
        <v>65</v>
      </c>
      <c r="D321" s="45">
        <f>30000-15000</f>
        <v>15000</v>
      </c>
      <c r="E321" s="45">
        <v>15000</v>
      </c>
      <c r="F321" s="45">
        <v>15000</v>
      </c>
      <c r="G321" s="13"/>
      <c r="H321" s="13"/>
      <c r="I321" s="13"/>
      <c r="J321" s="13"/>
    </row>
    <row r="322" spans="1:10" s="4" customFormat="1" ht="66.75" customHeight="1" x14ac:dyDescent="0.2">
      <c r="A322" s="121" t="s">
        <v>442</v>
      </c>
      <c r="B322" s="122" t="s">
        <v>441</v>
      </c>
      <c r="C322" s="108"/>
      <c r="D322" s="45">
        <f t="shared" ref="D322:D323" si="134">D323</f>
        <v>15000</v>
      </c>
      <c r="E322" s="45">
        <f t="shared" ref="E322:E323" si="135">E323</f>
        <v>15000</v>
      </c>
      <c r="F322" s="45">
        <f t="shared" ref="F322:F323" si="136">F323</f>
        <v>15000</v>
      </c>
      <c r="G322" s="17"/>
      <c r="H322" s="17"/>
      <c r="I322" s="17"/>
      <c r="J322" s="17"/>
    </row>
    <row r="323" spans="1:10" s="3" customFormat="1" ht="26.25" customHeight="1" x14ac:dyDescent="0.2">
      <c r="A323" s="52" t="s">
        <v>80</v>
      </c>
      <c r="B323" s="117" t="s">
        <v>440</v>
      </c>
      <c r="C323" s="79">
        <v>200</v>
      </c>
      <c r="D323" s="45">
        <f t="shared" si="134"/>
        <v>15000</v>
      </c>
      <c r="E323" s="45">
        <f t="shared" si="135"/>
        <v>15000</v>
      </c>
      <c r="F323" s="45">
        <f t="shared" si="136"/>
        <v>15000</v>
      </c>
      <c r="G323" s="13"/>
      <c r="H323" s="13"/>
      <c r="I323" s="13"/>
      <c r="J323" s="13"/>
    </row>
    <row r="324" spans="1:10" s="3" customFormat="1" ht="26.25" customHeight="1" x14ac:dyDescent="0.2">
      <c r="A324" s="52" t="s">
        <v>62</v>
      </c>
      <c r="B324" s="117" t="s">
        <v>440</v>
      </c>
      <c r="C324" s="79">
        <v>240</v>
      </c>
      <c r="D324" s="45">
        <f>D325</f>
        <v>15000</v>
      </c>
      <c r="E324" s="45">
        <f t="shared" ref="E324:F324" si="137">E325</f>
        <v>15000</v>
      </c>
      <c r="F324" s="45">
        <f t="shared" si="137"/>
        <v>15000</v>
      </c>
      <c r="G324" s="13"/>
      <c r="H324" s="13"/>
      <c r="I324" s="13"/>
      <c r="J324" s="13"/>
    </row>
    <row r="325" spans="1:10" s="3" customFormat="1" ht="26.25" customHeight="1" x14ac:dyDescent="0.2">
      <c r="A325" s="52" t="s">
        <v>21</v>
      </c>
      <c r="B325" s="117" t="s">
        <v>440</v>
      </c>
      <c r="C325" s="79">
        <v>244</v>
      </c>
      <c r="D325" s="45">
        <v>15000</v>
      </c>
      <c r="E325" s="45">
        <v>15000</v>
      </c>
      <c r="F325" s="45">
        <v>15000</v>
      </c>
      <c r="G325" s="13"/>
      <c r="H325" s="13"/>
      <c r="I325" s="13"/>
      <c r="J325" s="13"/>
    </row>
    <row r="326" spans="1:10" s="5" customFormat="1" ht="27" x14ac:dyDescent="0.2">
      <c r="A326" s="56" t="s">
        <v>233</v>
      </c>
      <c r="B326" s="57" t="s">
        <v>16</v>
      </c>
      <c r="C326" s="105"/>
      <c r="D326" s="59">
        <f>D327+D345+D367</f>
        <v>95377180.699999988</v>
      </c>
      <c r="E326" s="59">
        <f>E327+E345+E367</f>
        <v>62523277.929999992</v>
      </c>
      <c r="F326" s="59">
        <f>F327+F345+F367</f>
        <v>67251087.849999994</v>
      </c>
      <c r="G326" s="15"/>
      <c r="H326" s="15"/>
      <c r="I326" s="15"/>
      <c r="J326" s="15"/>
    </row>
    <row r="327" spans="1:10" s="4" customFormat="1" ht="20.25" customHeight="1" x14ac:dyDescent="0.2">
      <c r="A327" s="119" t="s">
        <v>251</v>
      </c>
      <c r="B327" s="120" t="s">
        <v>43</v>
      </c>
      <c r="C327" s="108"/>
      <c r="D327" s="55">
        <f>D328+D337+D341+D333</f>
        <v>24393327.550000001</v>
      </c>
      <c r="E327" s="55">
        <f t="shared" ref="E327:F327" si="138">E328+E337+E341+E333</f>
        <v>16805902.25</v>
      </c>
      <c r="F327" s="55">
        <f t="shared" si="138"/>
        <v>17463314.799999997</v>
      </c>
      <c r="G327" s="17"/>
      <c r="H327" s="17"/>
      <c r="I327" s="17"/>
      <c r="J327" s="17"/>
    </row>
    <row r="328" spans="1:10" s="3" customFormat="1" ht="31.5" customHeight="1" x14ac:dyDescent="0.2">
      <c r="A328" s="82" t="s">
        <v>51</v>
      </c>
      <c r="B328" s="123" t="s">
        <v>44</v>
      </c>
      <c r="C328" s="79"/>
      <c r="D328" s="45">
        <f>D330</f>
        <v>23261220.699999999</v>
      </c>
      <c r="E328" s="45">
        <f>E330</f>
        <v>16566535.109999999</v>
      </c>
      <c r="F328" s="45">
        <f>F330</f>
        <v>17229196.52</v>
      </c>
      <c r="G328" s="13"/>
      <c r="H328" s="13"/>
      <c r="I328" s="13"/>
      <c r="J328" s="13"/>
    </row>
    <row r="329" spans="1:10" s="3" customFormat="1" ht="25.5" x14ac:dyDescent="0.2">
      <c r="A329" s="84" t="s">
        <v>81</v>
      </c>
      <c r="B329" s="123" t="s">
        <v>44</v>
      </c>
      <c r="C329" s="79">
        <v>600</v>
      </c>
      <c r="D329" s="45">
        <f>D330</f>
        <v>23261220.699999999</v>
      </c>
      <c r="E329" s="45">
        <f>E330</f>
        <v>16566535.109999999</v>
      </c>
      <c r="F329" s="45">
        <f>F330</f>
        <v>17229196.52</v>
      </c>
      <c r="G329" s="13"/>
      <c r="H329" s="13"/>
      <c r="I329" s="13"/>
      <c r="J329" s="13"/>
    </row>
    <row r="330" spans="1:10" s="3" customFormat="1" ht="12.75" x14ac:dyDescent="0.2">
      <c r="A330" s="84" t="s">
        <v>49</v>
      </c>
      <c r="B330" s="123" t="s">
        <v>44</v>
      </c>
      <c r="C330" s="79">
        <v>610</v>
      </c>
      <c r="D330" s="45">
        <f>D331+D332</f>
        <v>23261220.699999999</v>
      </c>
      <c r="E330" s="45">
        <f>E331+E332</f>
        <v>16566535.109999999</v>
      </c>
      <c r="F330" s="45">
        <f>F331+F332</f>
        <v>17229196.52</v>
      </c>
      <c r="G330" s="13"/>
      <c r="H330" s="13"/>
      <c r="I330" s="13"/>
      <c r="J330" s="13"/>
    </row>
    <row r="331" spans="1:10" s="3" customFormat="1" ht="51" x14ac:dyDescent="0.2">
      <c r="A331" s="92" t="s">
        <v>86</v>
      </c>
      <c r="B331" s="123" t="s">
        <v>44</v>
      </c>
      <c r="C331" s="79">
        <v>611</v>
      </c>
      <c r="D331" s="45">
        <v>22855309.129999999</v>
      </c>
      <c r="E331" s="45">
        <v>16290779.119999999</v>
      </c>
      <c r="F331" s="45">
        <v>16942410.289999999</v>
      </c>
      <c r="G331" s="13"/>
      <c r="H331" s="13"/>
      <c r="I331" s="13"/>
      <c r="J331" s="13"/>
    </row>
    <row r="332" spans="1:10" s="3" customFormat="1" ht="12.75" x14ac:dyDescent="0.2">
      <c r="A332" s="94" t="s">
        <v>64</v>
      </c>
      <c r="B332" s="123" t="s">
        <v>44</v>
      </c>
      <c r="C332" s="79">
        <v>612</v>
      </c>
      <c r="D332" s="45">
        <f>329253+51658.57+25000</f>
        <v>405911.57</v>
      </c>
      <c r="E332" s="45">
        <v>275755.99</v>
      </c>
      <c r="F332" s="45">
        <v>286786.23</v>
      </c>
      <c r="G332" s="13"/>
      <c r="H332" s="13"/>
      <c r="I332" s="13"/>
      <c r="J332" s="13"/>
    </row>
    <row r="333" spans="1:10" s="3" customFormat="1" ht="38.25" x14ac:dyDescent="0.2">
      <c r="A333" s="94" t="s">
        <v>308</v>
      </c>
      <c r="B333" s="123" t="s">
        <v>309</v>
      </c>
      <c r="C333" s="79"/>
      <c r="D333" s="45">
        <f>D334</f>
        <v>219894.43</v>
      </c>
      <c r="E333" s="45">
        <f t="shared" ref="E333:F335" si="139">E334</f>
        <v>222775.72</v>
      </c>
      <c r="F333" s="45">
        <f t="shared" si="139"/>
        <v>216863.2</v>
      </c>
      <c r="G333" s="13"/>
      <c r="H333" s="13"/>
      <c r="I333" s="13"/>
      <c r="J333" s="13"/>
    </row>
    <row r="334" spans="1:10" s="3" customFormat="1" ht="25.5" x14ac:dyDescent="0.2">
      <c r="A334" s="94" t="s">
        <v>81</v>
      </c>
      <c r="B334" s="123" t="s">
        <v>309</v>
      </c>
      <c r="C334" s="79">
        <v>600</v>
      </c>
      <c r="D334" s="45">
        <f>D335</f>
        <v>219894.43</v>
      </c>
      <c r="E334" s="45">
        <f t="shared" si="139"/>
        <v>222775.72</v>
      </c>
      <c r="F334" s="45">
        <f t="shared" si="139"/>
        <v>216863.2</v>
      </c>
      <c r="G334" s="13"/>
      <c r="H334" s="13"/>
      <c r="I334" s="13"/>
      <c r="J334" s="13"/>
    </row>
    <row r="335" spans="1:10" s="3" customFormat="1" ht="12.75" x14ac:dyDescent="0.2">
      <c r="A335" s="94" t="s">
        <v>49</v>
      </c>
      <c r="B335" s="123" t="s">
        <v>309</v>
      </c>
      <c r="C335" s="79">
        <v>610</v>
      </c>
      <c r="D335" s="45">
        <f>D336</f>
        <v>219894.43</v>
      </c>
      <c r="E335" s="45">
        <f t="shared" si="139"/>
        <v>222775.72</v>
      </c>
      <c r="F335" s="45">
        <f t="shared" si="139"/>
        <v>216863.2</v>
      </c>
      <c r="G335" s="13"/>
      <c r="H335" s="13"/>
      <c r="I335" s="13"/>
      <c r="J335" s="13"/>
    </row>
    <row r="336" spans="1:10" s="3" customFormat="1" ht="12.75" x14ac:dyDescent="0.2">
      <c r="A336" s="94" t="s">
        <v>64</v>
      </c>
      <c r="B336" s="123" t="s">
        <v>309</v>
      </c>
      <c r="C336" s="79">
        <v>612</v>
      </c>
      <c r="D336" s="45">
        <f>237059.9-17165.47</f>
        <v>219894.43</v>
      </c>
      <c r="E336" s="45">
        <f>240453.5-17677.78</f>
        <v>222775.72</v>
      </c>
      <c r="F336" s="45">
        <f>201682.78+15180.42</f>
        <v>216863.2</v>
      </c>
      <c r="G336" s="13"/>
      <c r="H336" s="13"/>
      <c r="I336" s="13"/>
      <c r="J336" s="13"/>
    </row>
    <row r="337" spans="1:10" s="3" customFormat="1" ht="94.5" customHeight="1" x14ac:dyDescent="0.2">
      <c r="A337" s="124" t="s">
        <v>382</v>
      </c>
      <c r="B337" s="64" t="s">
        <v>98</v>
      </c>
      <c r="C337" s="51"/>
      <c r="D337" s="45">
        <f>D338</f>
        <v>895621</v>
      </c>
      <c r="E337" s="45">
        <f>E338</f>
        <v>0</v>
      </c>
      <c r="F337" s="45">
        <f>F338</f>
        <v>0</v>
      </c>
      <c r="G337" s="13"/>
      <c r="H337" s="13"/>
      <c r="I337" s="13"/>
      <c r="J337" s="13"/>
    </row>
    <row r="338" spans="1:10" s="3" customFormat="1" ht="25.5" x14ac:dyDescent="0.2">
      <c r="A338" s="124" t="s">
        <v>81</v>
      </c>
      <c r="B338" s="64" t="s">
        <v>98</v>
      </c>
      <c r="C338" s="51">
        <v>600</v>
      </c>
      <c r="D338" s="45">
        <f t="shared" ref="D338:F339" si="140">D339</f>
        <v>895621</v>
      </c>
      <c r="E338" s="45">
        <f t="shared" si="140"/>
        <v>0</v>
      </c>
      <c r="F338" s="45">
        <f t="shared" si="140"/>
        <v>0</v>
      </c>
      <c r="G338" s="13"/>
      <c r="H338" s="13"/>
      <c r="I338" s="13"/>
      <c r="J338" s="13"/>
    </row>
    <row r="339" spans="1:10" s="3" customFormat="1" ht="12.75" x14ac:dyDescent="0.2">
      <c r="A339" s="124" t="s">
        <v>49</v>
      </c>
      <c r="B339" s="64" t="s">
        <v>98</v>
      </c>
      <c r="C339" s="51">
        <v>610</v>
      </c>
      <c r="D339" s="45">
        <f t="shared" si="140"/>
        <v>895621</v>
      </c>
      <c r="E339" s="45">
        <f t="shared" si="140"/>
        <v>0</v>
      </c>
      <c r="F339" s="45">
        <f t="shared" si="140"/>
        <v>0</v>
      </c>
      <c r="G339" s="13"/>
      <c r="H339" s="13"/>
      <c r="I339" s="13"/>
      <c r="J339" s="13"/>
    </row>
    <row r="340" spans="1:10" s="3" customFormat="1" ht="12.75" x14ac:dyDescent="0.2">
      <c r="A340" s="125" t="s">
        <v>64</v>
      </c>
      <c r="B340" s="64" t="s">
        <v>98</v>
      </c>
      <c r="C340" s="51">
        <v>612</v>
      </c>
      <c r="D340" s="45">
        <v>895621</v>
      </c>
      <c r="E340" s="45">
        <v>0</v>
      </c>
      <c r="F340" s="45">
        <v>0</v>
      </c>
      <c r="G340" s="13"/>
      <c r="H340" s="13"/>
      <c r="I340" s="13"/>
      <c r="J340" s="13"/>
    </row>
    <row r="341" spans="1:10" s="3" customFormat="1" ht="38.25" x14ac:dyDescent="0.2">
      <c r="A341" s="126" t="s">
        <v>381</v>
      </c>
      <c r="B341" s="123" t="s">
        <v>91</v>
      </c>
      <c r="C341" s="79"/>
      <c r="D341" s="45">
        <f t="shared" ref="D341:F343" si="141">D342</f>
        <v>16591.419999999998</v>
      </c>
      <c r="E341" s="45">
        <f t="shared" si="141"/>
        <v>16591.419999999998</v>
      </c>
      <c r="F341" s="45">
        <f t="shared" si="141"/>
        <v>17255.080000000002</v>
      </c>
      <c r="G341" s="13"/>
      <c r="H341" s="13"/>
      <c r="I341" s="13"/>
      <c r="J341" s="13"/>
    </row>
    <row r="342" spans="1:10" s="5" customFormat="1" ht="25.5" x14ac:dyDescent="0.2">
      <c r="A342" s="63" t="s">
        <v>81</v>
      </c>
      <c r="B342" s="123" t="s">
        <v>91</v>
      </c>
      <c r="C342" s="79">
        <v>600</v>
      </c>
      <c r="D342" s="45">
        <f t="shared" si="141"/>
        <v>16591.419999999998</v>
      </c>
      <c r="E342" s="45">
        <f t="shared" si="141"/>
        <v>16591.419999999998</v>
      </c>
      <c r="F342" s="45">
        <f t="shared" si="141"/>
        <v>17255.080000000002</v>
      </c>
      <c r="G342" s="15"/>
      <c r="H342" s="15"/>
      <c r="I342" s="15"/>
      <c r="J342" s="15"/>
    </row>
    <row r="343" spans="1:10" s="3" customFormat="1" ht="12.75" x14ac:dyDescent="0.2">
      <c r="A343" s="63" t="s">
        <v>49</v>
      </c>
      <c r="B343" s="123" t="s">
        <v>91</v>
      </c>
      <c r="C343" s="79">
        <v>610</v>
      </c>
      <c r="D343" s="45">
        <f>D344</f>
        <v>16591.419999999998</v>
      </c>
      <c r="E343" s="45">
        <f t="shared" si="141"/>
        <v>16591.419999999998</v>
      </c>
      <c r="F343" s="45">
        <f t="shared" si="141"/>
        <v>17255.080000000002</v>
      </c>
      <c r="G343" s="13"/>
      <c r="H343" s="13"/>
      <c r="I343" s="13"/>
      <c r="J343" s="13"/>
    </row>
    <row r="344" spans="1:10" s="3" customFormat="1" ht="12.75" x14ac:dyDescent="0.2">
      <c r="A344" s="63" t="s">
        <v>64</v>
      </c>
      <c r="B344" s="123" t="s">
        <v>91</v>
      </c>
      <c r="C344" s="79">
        <v>612</v>
      </c>
      <c r="D344" s="45">
        <v>16591.419999999998</v>
      </c>
      <c r="E344" s="45">
        <v>16591.419999999998</v>
      </c>
      <c r="F344" s="45">
        <v>17255.080000000002</v>
      </c>
      <c r="G344" s="13"/>
      <c r="H344" s="13"/>
      <c r="I344" s="13"/>
      <c r="J344" s="13"/>
    </row>
    <row r="345" spans="1:10" s="4" customFormat="1" ht="26.25" customHeight="1" x14ac:dyDescent="0.2">
      <c r="A345" s="121" t="s">
        <v>250</v>
      </c>
      <c r="B345" s="120" t="s">
        <v>45</v>
      </c>
      <c r="C345" s="108"/>
      <c r="D345" s="55">
        <f>D346+D351+D355+D363+D359</f>
        <v>63378987.909999996</v>
      </c>
      <c r="E345" s="55">
        <f>E346+E351+E355+E363+E359</f>
        <v>39933119.019999996</v>
      </c>
      <c r="F345" s="55">
        <f>F346+F351+F355+F363+F359</f>
        <v>41600176.32</v>
      </c>
      <c r="G345" s="17"/>
      <c r="H345" s="17"/>
      <c r="I345" s="17"/>
      <c r="J345" s="17"/>
    </row>
    <row r="346" spans="1:10" s="3" customFormat="1" ht="31.5" customHeight="1" x14ac:dyDescent="0.2">
      <c r="A346" s="82" t="s">
        <v>51</v>
      </c>
      <c r="B346" s="123" t="s">
        <v>266</v>
      </c>
      <c r="C346" s="79"/>
      <c r="D346" s="45">
        <f t="shared" ref="D346:F347" si="142">D347</f>
        <v>61026634.549999997</v>
      </c>
      <c r="E346" s="45">
        <f t="shared" si="142"/>
        <v>38794519.019999996</v>
      </c>
      <c r="F346" s="45">
        <f t="shared" si="142"/>
        <v>40461576.32</v>
      </c>
      <c r="G346" s="13"/>
      <c r="H346" s="13"/>
      <c r="I346" s="13"/>
      <c r="J346" s="13"/>
    </row>
    <row r="347" spans="1:10" s="3" customFormat="1" ht="25.5" x14ac:dyDescent="0.2">
      <c r="A347" s="84" t="s">
        <v>81</v>
      </c>
      <c r="B347" s="123" t="s">
        <v>266</v>
      </c>
      <c r="C347" s="79">
        <v>600</v>
      </c>
      <c r="D347" s="45">
        <f t="shared" si="142"/>
        <v>61026634.549999997</v>
      </c>
      <c r="E347" s="45">
        <f t="shared" si="142"/>
        <v>38794519.019999996</v>
      </c>
      <c r="F347" s="45">
        <f t="shared" si="142"/>
        <v>40461576.32</v>
      </c>
      <c r="G347" s="13"/>
      <c r="H347" s="13"/>
      <c r="I347" s="13"/>
      <c r="J347" s="13"/>
    </row>
    <row r="348" spans="1:10" s="3" customFormat="1" ht="12.75" x14ac:dyDescent="0.2">
      <c r="A348" s="84" t="s">
        <v>49</v>
      </c>
      <c r="B348" s="123" t="s">
        <v>266</v>
      </c>
      <c r="C348" s="79">
        <v>610</v>
      </c>
      <c r="D348" s="45">
        <f>D349+D350</f>
        <v>61026634.549999997</v>
      </c>
      <c r="E348" s="45">
        <f>E349+E350</f>
        <v>38794519.019999996</v>
      </c>
      <c r="F348" s="45">
        <f>F349+F350</f>
        <v>40461576.32</v>
      </c>
      <c r="G348" s="13"/>
      <c r="H348" s="13"/>
      <c r="I348" s="13"/>
      <c r="J348" s="13"/>
    </row>
    <row r="349" spans="1:10" s="3" customFormat="1" ht="51" x14ac:dyDescent="0.2">
      <c r="A349" s="92" t="s">
        <v>86</v>
      </c>
      <c r="B349" s="123" t="s">
        <v>266</v>
      </c>
      <c r="C349" s="79">
        <v>611</v>
      </c>
      <c r="D349" s="50">
        <v>60181348.469999999</v>
      </c>
      <c r="E349" s="50">
        <v>38473593.969999999</v>
      </c>
      <c r="F349" s="50">
        <v>40012537.729999997</v>
      </c>
      <c r="G349" s="13"/>
      <c r="H349" s="13"/>
      <c r="I349" s="13"/>
      <c r="J349" s="13"/>
    </row>
    <row r="350" spans="1:10" s="3" customFormat="1" ht="12.75" x14ac:dyDescent="0.2">
      <c r="A350" s="94" t="s">
        <v>64</v>
      </c>
      <c r="B350" s="123" t="s">
        <v>266</v>
      </c>
      <c r="C350" s="79">
        <v>612</v>
      </c>
      <c r="D350" s="50">
        <f>415161.41-51658.57+35000+446783.24</f>
        <v>845286.08</v>
      </c>
      <c r="E350" s="50">
        <v>320925.05</v>
      </c>
      <c r="F350" s="50">
        <v>449038.59</v>
      </c>
      <c r="G350" s="13"/>
      <c r="H350" s="13"/>
      <c r="I350" s="13"/>
      <c r="J350" s="13"/>
    </row>
    <row r="351" spans="1:10" s="3" customFormat="1" ht="98.25" customHeight="1" x14ac:dyDescent="0.2">
      <c r="A351" s="124" t="s">
        <v>382</v>
      </c>
      <c r="B351" s="64" t="s">
        <v>269</v>
      </c>
      <c r="C351" s="51"/>
      <c r="D351" s="45">
        <f>D352</f>
        <v>693362.4</v>
      </c>
      <c r="E351" s="45">
        <f>E352</f>
        <v>0</v>
      </c>
      <c r="F351" s="45">
        <f>F352</f>
        <v>0</v>
      </c>
      <c r="G351" s="13"/>
      <c r="H351" s="13"/>
      <c r="I351" s="13"/>
      <c r="J351" s="13"/>
    </row>
    <row r="352" spans="1:10" s="3" customFormat="1" ht="25.5" x14ac:dyDescent="0.2">
      <c r="A352" s="124" t="s">
        <v>81</v>
      </c>
      <c r="B352" s="64" t="s">
        <v>269</v>
      </c>
      <c r="C352" s="51">
        <v>600</v>
      </c>
      <c r="D352" s="45">
        <f t="shared" ref="D352:F353" si="143">D353</f>
        <v>693362.4</v>
      </c>
      <c r="E352" s="45">
        <f t="shared" si="143"/>
        <v>0</v>
      </c>
      <c r="F352" s="45">
        <f t="shared" si="143"/>
        <v>0</v>
      </c>
      <c r="G352" s="13"/>
      <c r="H352" s="13"/>
      <c r="I352" s="13"/>
      <c r="J352" s="13"/>
    </row>
    <row r="353" spans="1:10" s="3" customFormat="1" ht="12.75" x14ac:dyDescent="0.2">
      <c r="A353" s="124" t="s">
        <v>49</v>
      </c>
      <c r="B353" s="64" t="s">
        <v>269</v>
      </c>
      <c r="C353" s="51">
        <v>610</v>
      </c>
      <c r="D353" s="45">
        <f t="shared" si="143"/>
        <v>693362.4</v>
      </c>
      <c r="E353" s="45">
        <f t="shared" si="143"/>
        <v>0</v>
      </c>
      <c r="F353" s="45">
        <f t="shared" si="143"/>
        <v>0</v>
      </c>
      <c r="G353" s="13"/>
      <c r="H353" s="13"/>
      <c r="I353" s="13"/>
      <c r="J353" s="13"/>
    </row>
    <row r="354" spans="1:10" s="3" customFormat="1" ht="12.75" x14ac:dyDescent="0.2">
      <c r="A354" s="125" t="s">
        <v>64</v>
      </c>
      <c r="B354" s="64" t="s">
        <v>269</v>
      </c>
      <c r="C354" s="51">
        <v>612</v>
      </c>
      <c r="D354" s="45">
        <v>693362.4</v>
      </c>
      <c r="E354" s="45">
        <v>0</v>
      </c>
      <c r="F354" s="45">
        <v>0</v>
      </c>
      <c r="G354" s="13"/>
      <c r="H354" s="13"/>
      <c r="I354" s="13"/>
      <c r="J354" s="13"/>
    </row>
    <row r="355" spans="1:10" s="3" customFormat="1" ht="12.75" x14ac:dyDescent="0.2">
      <c r="A355" s="52" t="s">
        <v>75</v>
      </c>
      <c r="B355" s="123" t="s">
        <v>46</v>
      </c>
      <c r="C355" s="79"/>
      <c r="D355" s="45">
        <f>D357</f>
        <v>1028600</v>
      </c>
      <c r="E355" s="45">
        <f t="shared" ref="E355:F355" si="144">E357</f>
        <v>1088600</v>
      </c>
      <c r="F355" s="45">
        <f t="shared" si="144"/>
        <v>1088600</v>
      </c>
      <c r="G355" s="13"/>
      <c r="H355" s="13"/>
      <c r="I355" s="13"/>
      <c r="J355" s="13"/>
    </row>
    <row r="356" spans="1:10" s="3" customFormat="1" ht="25.5" x14ac:dyDescent="0.2">
      <c r="A356" s="42" t="s">
        <v>80</v>
      </c>
      <c r="B356" s="123" t="s">
        <v>46</v>
      </c>
      <c r="C356" s="79">
        <v>200</v>
      </c>
      <c r="D356" s="45">
        <f t="shared" ref="D356:F357" si="145">D357</f>
        <v>1028600</v>
      </c>
      <c r="E356" s="45">
        <f t="shared" si="145"/>
        <v>1088600</v>
      </c>
      <c r="F356" s="45">
        <f t="shared" si="145"/>
        <v>1088600</v>
      </c>
      <c r="G356" s="13"/>
      <c r="H356" s="13"/>
      <c r="I356" s="13"/>
      <c r="J356" s="13"/>
    </row>
    <row r="357" spans="1:10" s="3" customFormat="1" ht="25.5" x14ac:dyDescent="0.2">
      <c r="A357" s="42" t="s">
        <v>62</v>
      </c>
      <c r="B357" s="123" t="s">
        <v>46</v>
      </c>
      <c r="C357" s="79">
        <v>240</v>
      </c>
      <c r="D357" s="45">
        <f t="shared" si="145"/>
        <v>1028600</v>
      </c>
      <c r="E357" s="45">
        <f t="shared" si="145"/>
        <v>1088600</v>
      </c>
      <c r="F357" s="45">
        <f t="shared" si="145"/>
        <v>1088600</v>
      </c>
      <c r="G357" s="13"/>
      <c r="H357" s="13"/>
      <c r="I357" s="13"/>
      <c r="J357" s="13"/>
    </row>
    <row r="358" spans="1:10" s="3" customFormat="1" ht="12.75" x14ac:dyDescent="0.2">
      <c r="A358" s="92" t="s">
        <v>21</v>
      </c>
      <c r="B358" s="123" t="s">
        <v>46</v>
      </c>
      <c r="C358" s="79">
        <v>244</v>
      </c>
      <c r="D358" s="45">
        <f>1088600-60000</f>
        <v>1028600</v>
      </c>
      <c r="E358" s="45">
        <v>1088600</v>
      </c>
      <c r="F358" s="45">
        <v>1088600</v>
      </c>
      <c r="G358" s="13"/>
      <c r="H358" s="13"/>
      <c r="I358" s="13"/>
      <c r="J358" s="13"/>
    </row>
    <row r="359" spans="1:10" s="3" customFormat="1" ht="25.5" x14ac:dyDescent="0.2">
      <c r="A359" s="81" t="s">
        <v>383</v>
      </c>
      <c r="B359" s="77" t="s">
        <v>417</v>
      </c>
      <c r="C359" s="79"/>
      <c r="D359" s="45">
        <f>D360</f>
        <v>580390.96</v>
      </c>
      <c r="E359" s="45">
        <f>E360</f>
        <v>0</v>
      </c>
      <c r="F359" s="45">
        <f>F360</f>
        <v>0</v>
      </c>
      <c r="G359" s="13"/>
      <c r="H359" s="13"/>
      <c r="I359" s="13"/>
      <c r="J359" s="13"/>
    </row>
    <row r="360" spans="1:10" s="3" customFormat="1" ht="25.5" x14ac:dyDescent="0.2">
      <c r="A360" s="42" t="s">
        <v>78</v>
      </c>
      <c r="B360" s="77" t="s">
        <v>417</v>
      </c>
      <c r="C360" s="127" t="s">
        <v>202</v>
      </c>
      <c r="D360" s="45">
        <f t="shared" ref="D360:F361" si="146">D361</f>
        <v>580390.96</v>
      </c>
      <c r="E360" s="66">
        <f t="shared" si="146"/>
        <v>0</v>
      </c>
      <c r="F360" s="66">
        <f t="shared" si="146"/>
        <v>0</v>
      </c>
      <c r="G360" s="13"/>
      <c r="H360" s="13"/>
      <c r="I360" s="13"/>
      <c r="J360" s="13"/>
    </row>
    <row r="361" spans="1:10" s="3" customFormat="1" ht="12.75" x14ac:dyDescent="0.2">
      <c r="A361" s="42" t="s">
        <v>79</v>
      </c>
      <c r="B361" s="77" t="s">
        <v>417</v>
      </c>
      <c r="C361" s="44">
        <v>410</v>
      </c>
      <c r="D361" s="45">
        <f t="shared" si="146"/>
        <v>580390.96</v>
      </c>
      <c r="E361" s="66">
        <f t="shared" si="146"/>
        <v>0</v>
      </c>
      <c r="F361" s="66">
        <f t="shared" si="146"/>
        <v>0</v>
      </c>
      <c r="G361" s="13"/>
      <c r="H361" s="13"/>
      <c r="I361" s="13"/>
      <c r="J361" s="13"/>
    </row>
    <row r="362" spans="1:10" s="3" customFormat="1" ht="25.5" x14ac:dyDescent="0.2">
      <c r="A362" s="81" t="s">
        <v>102</v>
      </c>
      <c r="B362" s="77" t="s">
        <v>417</v>
      </c>
      <c r="C362" s="127" t="s">
        <v>352</v>
      </c>
      <c r="D362" s="45">
        <v>580390.96</v>
      </c>
      <c r="E362" s="45">
        <v>0</v>
      </c>
      <c r="F362" s="45">
        <v>0</v>
      </c>
      <c r="G362" s="13"/>
      <c r="H362" s="13"/>
      <c r="I362" s="13"/>
      <c r="J362" s="13"/>
    </row>
    <row r="363" spans="1:10" s="3" customFormat="1" ht="38.25" x14ac:dyDescent="0.2">
      <c r="A363" s="63" t="s">
        <v>267</v>
      </c>
      <c r="B363" s="128" t="s">
        <v>268</v>
      </c>
      <c r="C363" s="129"/>
      <c r="D363" s="45">
        <f>D364</f>
        <v>50000</v>
      </c>
      <c r="E363" s="45">
        <f t="shared" ref="E363:F365" si="147">E364</f>
        <v>50000</v>
      </c>
      <c r="F363" s="45">
        <f t="shared" si="147"/>
        <v>50000</v>
      </c>
      <c r="G363" s="13"/>
      <c r="H363" s="13"/>
      <c r="I363" s="13"/>
      <c r="J363" s="13"/>
    </row>
    <row r="364" spans="1:10" s="3" customFormat="1" ht="25.5" x14ac:dyDescent="0.2">
      <c r="A364" s="42" t="s">
        <v>81</v>
      </c>
      <c r="B364" s="128" t="s">
        <v>268</v>
      </c>
      <c r="C364" s="51">
        <v>600</v>
      </c>
      <c r="D364" s="45">
        <f>D365</f>
        <v>50000</v>
      </c>
      <c r="E364" s="45">
        <f t="shared" si="147"/>
        <v>50000</v>
      </c>
      <c r="F364" s="45">
        <f t="shared" si="147"/>
        <v>50000</v>
      </c>
      <c r="G364" s="13"/>
      <c r="H364" s="13"/>
      <c r="I364" s="13"/>
      <c r="J364" s="13"/>
    </row>
    <row r="365" spans="1:10" s="3" customFormat="1" ht="12.75" x14ac:dyDescent="0.2">
      <c r="A365" s="42" t="s">
        <v>49</v>
      </c>
      <c r="B365" s="128" t="s">
        <v>268</v>
      </c>
      <c r="C365" s="51">
        <v>610</v>
      </c>
      <c r="D365" s="45">
        <f>D366</f>
        <v>50000</v>
      </c>
      <c r="E365" s="45">
        <f t="shared" si="147"/>
        <v>50000</v>
      </c>
      <c r="F365" s="45">
        <f t="shared" si="147"/>
        <v>50000</v>
      </c>
      <c r="G365" s="13"/>
      <c r="H365" s="13"/>
      <c r="I365" s="13"/>
      <c r="J365" s="13"/>
    </row>
    <row r="366" spans="1:10" s="3" customFormat="1" ht="12.75" x14ac:dyDescent="0.2">
      <c r="A366" s="42" t="s">
        <v>64</v>
      </c>
      <c r="B366" s="128" t="s">
        <v>268</v>
      </c>
      <c r="C366" s="51">
        <v>612</v>
      </c>
      <c r="D366" s="45">
        <v>50000</v>
      </c>
      <c r="E366" s="45">
        <v>50000</v>
      </c>
      <c r="F366" s="45">
        <v>50000</v>
      </c>
      <c r="G366" s="13"/>
      <c r="H366" s="13"/>
      <c r="I366" s="13"/>
      <c r="J366" s="13"/>
    </row>
    <row r="367" spans="1:10" s="3" customFormat="1" ht="31.5" customHeight="1" x14ac:dyDescent="0.2">
      <c r="A367" s="130" t="s">
        <v>273</v>
      </c>
      <c r="B367" s="107" t="s">
        <v>270</v>
      </c>
      <c r="C367" s="79"/>
      <c r="D367" s="55">
        <f>D368+D379</f>
        <v>7604865.2400000002</v>
      </c>
      <c r="E367" s="55">
        <f>E368+E379</f>
        <v>5784256.6600000001</v>
      </c>
      <c r="F367" s="55">
        <f>F368+F379</f>
        <v>8187596.7299999995</v>
      </c>
      <c r="G367" s="13"/>
      <c r="H367" s="13"/>
      <c r="I367" s="13"/>
      <c r="J367" s="13"/>
    </row>
    <row r="368" spans="1:10" s="3" customFormat="1" ht="31.5" customHeight="1" x14ac:dyDescent="0.2">
      <c r="A368" s="82" t="s">
        <v>60</v>
      </c>
      <c r="B368" s="123" t="s">
        <v>416</v>
      </c>
      <c r="C368" s="79"/>
      <c r="D368" s="45">
        <f>D369+D374+D377</f>
        <v>7519682.96</v>
      </c>
      <c r="E368" s="45">
        <f>E369+E374+E377</f>
        <v>5691707.1900000004</v>
      </c>
      <c r="F368" s="45">
        <f>F369+F374+F377</f>
        <v>8095047.2599999998</v>
      </c>
      <c r="G368" s="13"/>
      <c r="H368" s="13"/>
      <c r="I368" s="13"/>
      <c r="J368" s="13"/>
    </row>
    <row r="369" spans="1:10" s="3" customFormat="1" ht="51" x14ac:dyDescent="0.2">
      <c r="A369" s="84" t="s">
        <v>82</v>
      </c>
      <c r="B369" s="123" t="s">
        <v>416</v>
      </c>
      <c r="C369" s="79">
        <v>100</v>
      </c>
      <c r="D369" s="45">
        <f>D370</f>
        <v>7201032.96</v>
      </c>
      <c r="E369" s="45">
        <f>E370</f>
        <v>5373057.1900000004</v>
      </c>
      <c r="F369" s="45">
        <f>F370</f>
        <v>7776397.2599999998</v>
      </c>
      <c r="G369" s="13"/>
      <c r="H369" s="13"/>
      <c r="I369" s="13"/>
      <c r="J369" s="13"/>
    </row>
    <row r="370" spans="1:10" s="3" customFormat="1" ht="25.5" x14ac:dyDescent="0.2">
      <c r="A370" s="84" t="s">
        <v>69</v>
      </c>
      <c r="B370" s="123" t="s">
        <v>416</v>
      </c>
      <c r="C370" s="79">
        <v>120</v>
      </c>
      <c r="D370" s="45">
        <f>D371+D372+D373</f>
        <v>7201032.96</v>
      </c>
      <c r="E370" s="45">
        <f>E371+E372+E373</f>
        <v>5373057.1900000004</v>
      </c>
      <c r="F370" s="45">
        <f>F371+F372+F373</f>
        <v>7776397.2599999998</v>
      </c>
      <c r="G370" s="13"/>
      <c r="H370" s="13"/>
      <c r="I370" s="13"/>
      <c r="J370" s="13"/>
    </row>
    <row r="371" spans="1:10" s="3" customFormat="1" ht="22.5" customHeight="1" x14ac:dyDescent="0.2">
      <c r="A371" s="92" t="s">
        <v>7</v>
      </c>
      <c r="B371" s="123" t="s">
        <v>416</v>
      </c>
      <c r="C371" s="79">
        <v>121</v>
      </c>
      <c r="D371" s="45">
        <v>5415539.9100000001</v>
      </c>
      <c r="E371" s="45">
        <v>4049967.12</v>
      </c>
      <c r="F371" s="45">
        <v>5857447.9699999997</v>
      </c>
      <c r="G371" s="13"/>
      <c r="H371" s="13"/>
      <c r="I371" s="13"/>
      <c r="J371" s="13"/>
    </row>
    <row r="372" spans="1:10" s="3" customFormat="1" ht="25.5" x14ac:dyDescent="0.2">
      <c r="A372" s="94" t="s">
        <v>158</v>
      </c>
      <c r="B372" s="123" t="s">
        <v>416</v>
      </c>
      <c r="C372" s="79">
        <v>122</v>
      </c>
      <c r="D372" s="45">
        <v>150000</v>
      </c>
      <c r="E372" s="45">
        <v>100000</v>
      </c>
      <c r="F372" s="45">
        <v>150000</v>
      </c>
      <c r="G372" s="13"/>
      <c r="H372" s="13"/>
      <c r="I372" s="13"/>
      <c r="J372" s="13"/>
    </row>
    <row r="373" spans="1:10" s="3" customFormat="1" ht="38.25" x14ac:dyDescent="0.2">
      <c r="A373" s="94" t="s">
        <v>6</v>
      </c>
      <c r="B373" s="123" t="s">
        <v>416</v>
      </c>
      <c r="C373" s="79">
        <v>129</v>
      </c>
      <c r="D373" s="45">
        <v>1635493.05</v>
      </c>
      <c r="E373" s="45">
        <v>1223090.07</v>
      </c>
      <c r="F373" s="45">
        <v>1768949.29</v>
      </c>
      <c r="G373" s="13"/>
      <c r="H373" s="13"/>
      <c r="I373" s="13"/>
      <c r="J373" s="13"/>
    </row>
    <row r="374" spans="1:10" s="3" customFormat="1" ht="25.5" x14ac:dyDescent="0.2">
      <c r="A374" s="42" t="s">
        <v>80</v>
      </c>
      <c r="B374" s="123" t="s">
        <v>416</v>
      </c>
      <c r="C374" s="79">
        <v>200</v>
      </c>
      <c r="D374" s="45">
        <f t="shared" ref="D374:F375" si="148">D375</f>
        <v>303650</v>
      </c>
      <c r="E374" s="45">
        <f t="shared" si="148"/>
        <v>303650</v>
      </c>
      <c r="F374" s="45">
        <f t="shared" si="148"/>
        <v>303650</v>
      </c>
      <c r="G374" s="13"/>
      <c r="H374" s="13"/>
      <c r="I374" s="13"/>
      <c r="J374" s="13"/>
    </row>
    <row r="375" spans="1:10" s="3" customFormat="1" ht="25.5" x14ac:dyDescent="0.2">
      <c r="A375" s="42" t="s">
        <v>62</v>
      </c>
      <c r="B375" s="123" t="s">
        <v>416</v>
      </c>
      <c r="C375" s="79">
        <v>240</v>
      </c>
      <c r="D375" s="45">
        <f t="shared" si="148"/>
        <v>303650</v>
      </c>
      <c r="E375" s="45">
        <f t="shared" si="148"/>
        <v>303650</v>
      </c>
      <c r="F375" s="45">
        <f t="shared" si="148"/>
        <v>303650</v>
      </c>
      <c r="G375" s="13"/>
      <c r="H375" s="13"/>
      <c r="I375" s="13"/>
      <c r="J375" s="13"/>
    </row>
    <row r="376" spans="1:10" s="3" customFormat="1" ht="12.75" x14ac:dyDescent="0.2">
      <c r="A376" s="92" t="s">
        <v>21</v>
      </c>
      <c r="B376" s="123" t="s">
        <v>416</v>
      </c>
      <c r="C376" s="79">
        <v>244</v>
      </c>
      <c r="D376" s="45">
        <v>303650</v>
      </c>
      <c r="E376" s="45">
        <v>303650</v>
      </c>
      <c r="F376" s="45">
        <v>303650</v>
      </c>
      <c r="G376" s="13"/>
      <c r="H376" s="13"/>
      <c r="I376" s="13"/>
      <c r="J376" s="13"/>
    </row>
    <row r="377" spans="1:10" s="3" customFormat="1" ht="12.75" x14ac:dyDescent="0.2">
      <c r="A377" s="92" t="s">
        <v>83</v>
      </c>
      <c r="B377" s="123" t="s">
        <v>416</v>
      </c>
      <c r="C377" s="79">
        <v>800</v>
      </c>
      <c r="D377" s="45">
        <f>D378</f>
        <v>15000</v>
      </c>
      <c r="E377" s="45">
        <f>E378</f>
        <v>15000</v>
      </c>
      <c r="F377" s="45">
        <f>F378</f>
        <v>15000</v>
      </c>
      <c r="G377" s="13"/>
      <c r="H377" s="13"/>
      <c r="I377" s="13"/>
      <c r="J377" s="13"/>
    </row>
    <row r="378" spans="1:10" s="3" customFormat="1" ht="12.75" x14ac:dyDescent="0.2">
      <c r="A378" s="92" t="s">
        <v>159</v>
      </c>
      <c r="B378" s="123" t="s">
        <v>416</v>
      </c>
      <c r="C378" s="79">
        <v>850</v>
      </c>
      <c r="D378" s="45">
        <v>15000</v>
      </c>
      <c r="E378" s="45">
        <v>15000</v>
      </c>
      <c r="F378" s="45">
        <v>15000</v>
      </c>
      <c r="G378" s="13"/>
      <c r="H378" s="13"/>
      <c r="I378" s="13"/>
      <c r="J378" s="13"/>
    </row>
    <row r="379" spans="1:10" s="3" customFormat="1" ht="25.5" x14ac:dyDescent="0.2">
      <c r="A379" s="131" t="s">
        <v>272</v>
      </c>
      <c r="B379" s="123" t="s">
        <v>271</v>
      </c>
      <c r="C379" s="79"/>
      <c r="D379" s="45">
        <f>D380</f>
        <v>85182.28</v>
      </c>
      <c r="E379" s="45">
        <f>E380</f>
        <v>92549.47</v>
      </c>
      <c r="F379" s="45">
        <f>F380</f>
        <v>92549.47</v>
      </c>
      <c r="G379" s="13"/>
      <c r="H379" s="13"/>
      <c r="I379" s="13"/>
      <c r="J379" s="13"/>
    </row>
    <row r="380" spans="1:10" s="3" customFormat="1" ht="12.75" x14ac:dyDescent="0.2">
      <c r="A380" s="124" t="s">
        <v>84</v>
      </c>
      <c r="B380" s="123" t="s">
        <v>271</v>
      </c>
      <c r="C380" s="79">
        <v>300</v>
      </c>
      <c r="D380" s="45">
        <f t="shared" ref="D380:F381" si="149">D381</f>
        <v>85182.28</v>
      </c>
      <c r="E380" s="45">
        <f t="shared" si="149"/>
        <v>92549.47</v>
      </c>
      <c r="F380" s="45">
        <f t="shared" si="149"/>
        <v>92549.47</v>
      </c>
      <c r="G380" s="13"/>
      <c r="H380" s="13"/>
      <c r="I380" s="13"/>
      <c r="J380" s="13"/>
    </row>
    <row r="381" spans="1:10" s="3" customFormat="1" ht="25.5" x14ac:dyDescent="0.2">
      <c r="A381" s="124" t="s">
        <v>72</v>
      </c>
      <c r="B381" s="123" t="s">
        <v>271</v>
      </c>
      <c r="C381" s="79">
        <v>320</v>
      </c>
      <c r="D381" s="45">
        <f t="shared" si="149"/>
        <v>85182.28</v>
      </c>
      <c r="E381" s="45">
        <f>E382</f>
        <v>92549.47</v>
      </c>
      <c r="F381" s="45">
        <f t="shared" si="149"/>
        <v>92549.47</v>
      </c>
      <c r="G381" s="13"/>
      <c r="H381" s="13"/>
      <c r="I381" s="13"/>
      <c r="J381" s="13"/>
    </row>
    <row r="382" spans="1:10" s="3" customFormat="1" ht="25.5" x14ac:dyDescent="0.2">
      <c r="A382" s="60" t="s">
        <v>18</v>
      </c>
      <c r="B382" s="123" t="s">
        <v>271</v>
      </c>
      <c r="C382" s="79">
        <v>321</v>
      </c>
      <c r="D382" s="45">
        <v>85182.28</v>
      </c>
      <c r="E382" s="45">
        <v>92549.47</v>
      </c>
      <c r="F382" s="45">
        <v>92549.47</v>
      </c>
      <c r="G382" s="13"/>
      <c r="H382" s="13"/>
      <c r="I382" s="13"/>
      <c r="J382" s="13"/>
    </row>
    <row r="383" spans="1:10" s="5" customFormat="1" ht="60" customHeight="1" x14ac:dyDescent="0.2">
      <c r="A383" s="56" t="s">
        <v>234</v>
      </c>
      <c r="B383" s="57" t="s">
        <v>17</v>
      </c>
      <c r="C383" s="105"/>
      <c r="D383" s="59">
        <f>D384</f>
        <v>1900809.7</v>
      </c>
      <c r="E383" s="59">
        <f t="shared" ref="E383:F383" si="150">E384</f>
        <v>756000</v>
      </c>
      <c r="F383" s="59">
        <f t="shared" si="150"/>
        <v>756000</v>
      </c>
      <c r="G383" s="15"/>
      <c r="H383" s="15"/>
      <c r="I383" s="15"/>
      <c r="J383" s="15"/>
    </row>
    <row r="384" spans="1:10" s="3" customFormat="1" ht="30" customHeight="1" x14ac:dyDescent="0.2">
      <c r="A384" s="116" t="s">
        <v>380</v>
      </c>
      <c r="B384" s="64" t="s">
        <v>376</v>
      </c>
      <c r="C384" s="79"/>
      <c r="D384" s="45">
        <f t="shared" ref="D384:D385" si="151">D385</f>
        <v>1900809.7</v>
      </c>
      <c r="E384" s="45">
        <f t="shared" ref="E384:E385" si="152">E385</f>
        <v>756000</v>
      </c>
      <c r="F384" s="45">
        <f t="shared" ref="F384:F385" si="153">F385</f>
        <v>756000</v>
      </c>
      <c r="G384" s="13"/>
      <c r="H384" s="13"/>
      <c r="I384" s="13"/>
      <c r="J384" s="13"/>
    </row>
    <row r="385" spans="1:10" s="3" customFormat="1" ht="12.75" x14ac:dyDescent="0.2">
      <c r="A385" s="118" t="s">
        <v>84</v>
      </c>
      <c r="B385" s="64" t="s">
        <v>376</v>
      </c>
      <c r="C385" s="79">
        <v>300</v>
      </c>
      <c r="D385" s="45">
        <f t="shared" si="151"/>
        <v>1900809.7</v>
      </c>
      <c r="E385" s="45">
        <f t="shared" si="152"/>
        <v>756000</v>
      </c>
      <c r="F385" s="45">
        <f t="shared" si="153"/>
        <v>756000</v>
      </c>
      <c r="G385" s="13"/>
      <c r="H385" s="13"/>
      <c r="I385" s="13"/>
      <c r="J385" s="13"/>
    </row>
    <row r="386" spans="1:10" s="3" customFormat="1" ht="25.5" x14ac:dyDescent="0.2">
      <c r="A386" s="116" t="s">
        <v>76</v>
      </c>
      <c r="B386" s="64" t="s">
        <v>376</v>
      </c>
      <c r="C386" s="79">
        <v>320</v>
      </c>
      <c r="D386" s="45">
        <f>D387</f>
        <v>1900809.7</v>
      </c>
      <c r="E386" s="45">
        <f t="shared" ref="E386:F386" si="154">E387</f>
        <v>756000</v>
      </c>
      <c r="F386" s="45">
        <f t="shared" si="154"/>
        <v>756000</v>
      </c>
      <c r="G386" s="13"/>
      <c r="H386" s="13"/>
      <c r="I386" s="13"/>
      <c r="J386" s="13"/>
    </row>
    <row r="387" spans="1:10" s="3" customFormat="1" ht="24.75" customHeight="1" x14ac:dyDescent="0.2">
      <c r="A387" s="116" t="s">
        <v>3</v>
      </c>
      <c r="B387" s="64" t="s">
        <v>376</v>
      </c>
      <c r="C387" s="79">
        <v>322</v>
      </c>
      <c r="D387" s="45">
        <f>756000+1144809.7</f>
        <v>1900809.7</v>
      </c>
      <c r="E387" s="45">
        <v>756000</v>
      </c>
      <c r="F387" s="45">
        <v>756000</v>
      </c>
      <c r="G387" s="13"/>
      <c r="H387" s="13"/>
      <c r="I387" s="13"/>
      <c r="J387" s="13"/>
    </row>
    <row r="388" spans="1:10" s="5" customFormat="1" ht="60" customHeight="1" x14ac:dyDescent="0.2">
      <c r="A388" s="56" t="s">
        <v>253</v>
      </c>
      <c r="B388" s="57" t="s">
        <v>252</v>
      </c>
      <c r="C388" s="105"/>
      <c r="D388" s="59">
        <f>D389</f>
        <v>30000</v>
      </c>
      <c r="E388" s="59">
        <f>E389</f>
        <v>30000</v>
      </c>
      <c r="F388" s="59">
        <f>F389</f>
        <v>30000</v>
      </c>
      <c r="G388" s="15"/>
      <c r="H388" s="15"/>
      <c r="I388" s="15"/>
      <c r="J388" s="15"/>
    </row>
    <row r="389" spans="1:10" s="3" customFormat="1" ht="12.75" x14ac:dyDescent="0.2">
      <c r="A389" s="84" t="s">
        <v>73</v>
      </c>
      <c r="B389" s="117" t="s">
        <v>254</v>
      </c>
      <c r="C389" s="79"/>
      <c r="D389" s="45">
        <f>D391</f>
        <v>30000</v>
      </c>
      <c r="E389" s="45">
        <f>E391</f>
        <v>30000</v>
      </c>
      <c r="F389" s="45">
        <f>F391</f>
        <v>30000</v>
      </c>
      <c r="G389" s="13"/>
      <c r="H389" s="13"/>
      <c r="I389" s="13"/>
      <c r="J389" s="13"/>
    </row>
    <row r="390" spans="1:10" s="3" customFormat="1" ht="25.5" x14ac:dyDescent="0.2">
      <c r="A390" s="42" t="s">
        <v>80</v>
      </c>
      <c r="B390" s="117" t="s">
        <v>254</v>
      </c>
      <c r="C390" s="79">
        <v>200</v>
      </c>
      <c r="D390" s="45">
        <f t="shared" ref="D390:F391" si="155">D391</f>
        <v>30000</v>
      </c>
      <c r="E390" s="45">
        <f t="shared" si="155"/>
        <v>30000</v>
      </c>
      <c r="F390" s="45">
        <f t="shared" si="155"/>
        <v>30000</v>
      </c>
      <c r="G390" s="13"/>
      <c r="H390" s="13"/>
      <c r="I390" s="13"/>
      <c r="J390" s="13"/>
    </row>
    <row r="391" spans="1:10" s="3" customFormat="1" ht="25.5" x14ac:dyDescent="0.2">
      <c r="A391" s="42" t="s">
        <v>62</v>
      </c>
      <c r="B391" s="117" t="s">
        <v>254</v>
      </c>
      <c r="C391" s="79">
        <v>240</v>
      </c>
      <c r="D391" s="45">
        <f t="shared" si="155"/>
        <v>30000</v>
      </c>
      <c r="E391" s="45">
        <f t="shared" si="155"/>
        <v>30000</v>
      </c>
      <c r="F391" s="45">
        <f t="shared" si="155"/>
        <v>30000</v>
      </c>
      <c r="G391" s="13"/>
      <c r="H391" s="13"/>
      <c r="I391" s="13"/>
      <c r="J391" s="13"/>
    </row>
    <row r="392" spans="1:10" s="3" customFormat="1" ht="12.75" x14ac:dyDescent="0.2">
      <c r="A392" s="92" t="s">
        <v>21</v>
      </c>
      <c r="B392" s="117" t="s">
        <v>254</v>
      </c>
      <c r="C392" s="79" t="s">
        <v>65</v>
      </c>
      <c r="D392" s="45">
        <v>30000</v>
      </c>
      <c r="E392" s="45">
        <v>30000</v>
      </c>
      <c r="F392" s="45">
        <v>30000</v>
      </c>
      <c r="G392" s="13"/>
      <c r="H392" s="13"/>
      <c r="I392" s="13"/>
      <c r="J392" s="13"/>
    </row>
    <row r="393" spans="1:10" s="5" customFormat="1" ht="60" customHeight="1" x14ac:dyDescent="0.2">
      <c r="A393" s="56" t="s">
        <v>255</v>
      </c>
      <c r="B393" s="57" t="s">
        <v>258</v>
      </c>
      <c r="C393" s="105"/>
      <c r="D393" s="59">
        <f>D394+D403</f>
        <v>919537.11</v>
      </c>
      <c r="E393" s="59">
        <f>E394+E403</f>
        <v>952358.59</v>
      </c>
      <c r="F393" s="59">
        <f>F394+F403</f>
        <v>986496.19</v>
      </c>
      <c r="G393" s="15"/>
      <c r="H393" s="15"/>
      <c r="I393" s="15"/>
      <c r="J393" s="15"/>
    </row>
    <row r="394" spans="1:10" s="3" customFormat="1" ht="25.5" x14ac:dyDescent="0.2">
      <c r="A394" s="42" t="s">
        <v>360</v>
      </c>
      <c r="B394" s="67" t="s">
        <v>353</v>
      </c>
      <c r="C394" s="44"/>
      <c r="D394" s="45">
        <f>D395+D401</f>
        <v>910537.11</v>
      </c>
      <c r="E394" s="45">
        <f>E395+E401</f>
        <v>943358.59</v>
      </c>
      <c r="F394" s="45">
        <f>F395+F401</f>
        <v>977496.19</v>
      </c>
      <c r="G394" s="13"/>
      <c r="H394" s="13"/>
      <c r="I394" s="13"/>
      <c r="J394" s="13"/>
    </row>
    <row r="395" spans="1:10" s="3" customFormat="1" ht="51" x14ac:dyDescent="0.2">
      <c r="A395" s="42" t="s">
        <v>82</v>
      </c>
      <c r="B395" s="67" t="s">
        <v>353</v>
      </c>
      <c r="C395" s="44">
        <v>100</v>
      </c>
      <c r="D395" s="45">
        <f>D396</f>
        <v>840537.11</v>
      </c>
      <c r="E395" s="45">
        <f>E396</f>
        <v>873358.59</v>
      </c>
      <c r="F395" s="45">
        <f>F396</f>
        <v>907496.19</v>
      </c>
      <c r="G395" s="13"/>
      <c r="H395" s="13"/>
      <c r="I395" s="13"/>
      <c r="J395" s="13"/>
    </row>
    <row r="396" spans="1:10" s="3" customFormat="1" ht="25.5" x14ac:dyDescent="0.2">
      <c r="A396" s="42" t="s">
        <v>61</v>
      </c>
      <c r="B396" s="67" t="s">
        <v>353</v>
      </c>
      <c r="C396" s="44">
        <v>120</v>
      </c>
      <c r="D396" s="45">
        <f>D397+D399+D398</f>
        <v>840537.11</v>
      </c>
      <c r="E396" s="45">
        <f>E397+E399+E398</f>
        <v>873358.59</v>
      </c>
      <c r="F396" s="45">
        <f>F397+F399+F398</f>
        <v>907496.19</v>
      </c>
      <c r="G396" s="13"/>
      <c r="H396" s="13"/>
      <c r="I396" s="13"/>
      <c r="J396" s="13"/>
    </row>
    <row r="397" spans="1:10" s="3" customFormat="1" ht="12.75" x14ac:dyDescent="0.2">
      <c r="A397" s="42" t="s">
        <v>151</v>
      </c>
      <c r="B397" s="67" t="s">
        <v>353</v>
      </c>
      <c r="C397" s="44">
        <v>121</v>
      </c>
      <c r="D397" s="45">
        <v>630212.82999999996</v>
      </c>
      <c r="E397" s="45">
        <v>655421.34</v>
      </c>
      <c r="F397" s="45">
        <v>681640.69</v>
      </c>
      <c r="G397" s="13"/>
      <c r="H397" s="13"/>
      <c r="I397" s="13"/>
      <c r="J397" s="13"/>
    </row>
    <row r="398" spans="1:10" s="3" customFormat="1" ht="25.5" x14ac:dyDescent="0.2">
      <c r="A398" s="42" t="s">
        <v>158</v>
      </c>
      <c r="B398" s="67" t="s">
        <v>353</v>
      </c>
      <c r="C398" s="44">
        <v>122</v>
      </c>
      <c r="D398" s="45">
        <v>20000</v>
      </c>
      <c r="E398" s="45">
        <v>20000</v>
      </c>
      <c r="F398" s="45">
        <v>20000</v>
      </c>
      <c r="G398" s="13"/>
      <c r="H398" s="13"/>
      <c r="I398" s="13"/>
      <c r="J398" s="13"/>
    </row>
    <row r="399" spans="1:10" s="3" customFormat="1" ht="38.25" x14ac:dyDescent="0.2">
      <c r="A399" s="42" t="s">
        <v>6</v>
      </c>
      <c r="B399" s="67" t="s">
        <v>353</v>
      </c>
      <c r="C399" s="44">
        <v>129</v>
      </c>
      <c r="D399" s="45">
        <v>190324.28</v>
      </c>
      <c r="E399" s="45">
        <v>197937.25</v>
      </c>
      <c r="F399" s="45">
        <v>205855.5</v>
      </c>
      <c r="G399" s="13"/>
      <c r="H399" s="13"/>
      <c r="I399" s="13"/>
      <c r="J399" s="13"/>
    </row>
    <row r="400" spans="1:10" s="3" customFormat="1" ht="25.5" x14ac:dyDescent="0.2">
      <c r="A400" s="42" t="s">
        <v>80</v>
      </c>
      <c r="B400" s="67" t="s">
        <v>353</v>
      </c>
      <c r="C400" s="44">
        <v>200</v>
      </c>
      <c r="D400" s="132">
        <f t="shared" ref="D400:F401" si="156">D401</f>
        <v>70000</v>
      </c>
      <c r="E400" s="132">
        <f t="shared" si="156"/>
        <v>70000</v>
      </c>
      <c r="F400" s="132">
        <f t="shared" si="156"/>
        <v>70000</v>
      </c>
      <c r="G400" s="13"/>
      <c r="H400" s="13"/>
      <c r="I400" s="13"/>
      <c r="J400" s="13"/>
    </row>
    <row r="401" spans="1:10" s="3" customFormat="1" ht="25.5" x14ac:dyDescent="0.2">
      <c r="A401" s="42" t="s">
        <v>62</v>
      </c>
      <c r="B401" s="67" t="s">
        <v>353</v>
      </c>
      <c r="C401" s="44">
        <v>240</v>
      </c>
      <c r="D401" s="132">
        <f t="shared" si="156"/>
        <v>70000</v>
      </c>
      <c r="E401" s="132">
        <f t="shared" si="156"/>
        <v>70000</v>
      </c>
      <c r="F401" s="132">
        <f t="shared" si="156"/>
        <v>70000</v>
      </c>
      <c r="G401" s="13"/>
      <c r="H401" s="13"/>
      <c r="I401" s="13"/>
      <c r="J401" s="13"/>
    </row>
    <row r="402" spans="1:10" s="3" customFormat="1" ht="12.75" x14ac:dyDescent="0.2">
      <c r="A402" s="42" t="s">
        <v>96</v>
      </c>
      <c r="B402" s="67" t="s">
        <v>353</v>
      </c>
      <c r="C402" s="44">
        <v>244</v>
      </c>
      <c r="D402" s="132">
        <v>70000</v>
      </c>
      <c r="E402" s="132">
        <v>70000</v>
      </c>
      <c r="F402" s="132">
        <v>70000</v>
      </c>
      <c r="G402" s="13"/>
      <c r="H402" s="13"/>
      <c r="I402" s="13"/>
      <c r="J402" s="13"/>
    </row>
    <row r="403" spans="1:10" s="3" customFormat="1" ht="33" customHeight="1" x14ac:dyDescent="0.2">
      <c r="A403" s="133" t="s">
        <v>256</v>
      </c>
      <c r="B403" s="64" t="s">
        <v>257</v>
      </c>
      <c r="C403" s="51"/>
      <c r="D403" s="45">
        <f>D404</f>
        <v>9000</v>
      </c>
      <c r="E403" s="45">
        <f>E404</f>
        <v>9000</v>
      </c>
      <c r="F403" s="45">
        <f>F404</f>
        <v>9000</v>
      </c>
      <c r="G403" s="13"/>
      <c r="H403" s="13"/>
      <c r="I403" s="13"/>
      <c r="J403" s="13"/>
    </row>
    <row r="404" spans="1:10" s="3" customFormat="1" ht="25.5" x14ac:dyDescent="0.2">
      <c r="A404" s="42" t="s">
        <v>80</v>
      </c>
      <c r="B404" s="64" t="s">
        <v>257</v>
      </c>
      <c r="C404" s="44">
        <v>200</v>
      </c>
      <c r="D404" s="45">
        <f t="shared" ref="D404:F405" si="157">D405</f>
        <v>9000</v>
      </c>
      <c r="E404" s="45">
        <f t="shared" si="157"/>
        <v>9000</v>
      </c>
      <c r="F404" s="45">
        <f t="shared" si="157"/>
        <v>9000</v>
      </c>
      <c r="G404" s="13"/>
      <c r="H404" s="13"/>
      <c r="I404" s="13"/>
      <c r="J404" s="13"/>
    </row>
    <row r="405" spans="1:10" s="3" customFormat="1" ht="25.5" x14ac:dyDescent="0.2">
      <c r="A405" s="42" t="s">
        <v>62</v>
      </c>
      <c r="B405" s="64" t="s">
        <v>257</v>
      </c>
      <c r="C405" s="44">
        <v>240</v>
      </c>
      <c r="D405" s="45">
        <f t="shared" si="157"/>
        <v>9000</v>
      </c>
      <c r="E405" s="45">
        <f t="shared" si="157"/>
        <v>9000</v>
      </c>
      <c r="F405" s="45">
        <f t="shared" si="157"/>
        <v>9000</v>
      </c>
      <c r="G405" s="13"/>
      <c r="H405" s="13"/>
      <c r="I405" s="13"/>
      <c r="J405" s="13"/>
    </row>
    <row r="406" spans="1:10" s="3" customFormat="1" ht="12.75" x14ac:dyDescent="0.2">
      <c r="A406" s="42" t="s">
        <v>96</v>
      </c>
      <c r="B406" s="64" t="s">
        <v>257</v>
      </c>
      <c r="C406" s="44">
        <v>244</v>
      </c>
      <c r="D406" s="45">
        <v>9000</v>
      </c>
      <c r="E406" s="45">
        <v>9000</v>
      </c>
      <c r="F406" s="45">
        <v>9000</v>
      </c>
      <c r="G406" s="13"/>
      <c r="H406" s="13"/>
      <c r="I406" s="13"/>
      <c r="J406" s="13"/>
    </row>
    <row r="407" spans="1:10" s="5" customFormat="1" ht="27" x14ac:dyDescent="0.2">
      <c r="A407" s="56" t="s">
        <v>235</v>
      </c>
      <c r="B407" s="57" t="s">
        <v>19</v>
      </c>
      <c r="C407" s="105"/>
      <c r="D407" s="59">
        <f>D417+D408</f>
        <v>4452741.01</v>
      </c>
      <c r="E407" s="59">
        <f>E417+E408</f>
        <v>4452741.01</v>
      </c>
      <c r="F407" s="59">
        <f>F417+F408</f>
        <v>4495331.42</v>
      </c>
      <c r="G407" s="15"/>
      <c r="H407" s="15"/>
      <c r="I407" s="15"/>
      <c r="J407" s="15"/>
    </row>
    <row r="408" spans="1:10" s="5" customFormat="1" ht="25.5" x14ac:dyDescent="0.2">
      <c r="A408" s="42" t="s">
        <v>51</v>
      </c>
      <c r="B408" s="134" t="s">
        <v>354</v>
      </c>
      <c r="C408" s="135"/>
      <c r="D408" s="50">
        <f>D409+D414</f>
        <v>4422741.01</v>
      </c>
      <c r="E408" s="50">
        <f t="shared" ref="E408:F408" si="158">E409+E414</f>
        <v>4422741.01</v>
      </c>
      <c r="F408" s="50">
        <f t="shared" si="158"/>
        <v>4465331.42</v>
      </c>
      <c r="G408" s="15"/>
      <c r="H408" s="15"/>
      <c r="I408" s="15"/>
      <c r="J408" s="15"/>
    </row>
    <row r="409" spans="1:10" s="5" customFormat="1" ht="51" x14ac:dyDescent="0.2">
      <c r="A409" s="42" t="s">
        <v>82</v>
      </c>
      <c r="B409" s="134" t="s">
        <v>354</v>
      </c>
      <c r="C409" s="136">
        <v>100</v>
      </c>
      <c r="D409" s="50">
        <f>D410</f>
        <v>4289041.01</v>
      </c>
      <c r="E409" s="45">
        <f>E410</f>
        <v>4289041.01</v>
      </c>
      <c r="F409" s="45">
        <f>F410</f>
        <v>4331631.42</v>
      </c>
      <c r="G409" s="15"/>
      <c r="H409" s="15"/>
      <c r="I409" s="15"/>
      <c r="J409" s="15"/>
    </row>
    <row r="410" spans="1:10" s="5" customFormat="1" ht="12.75" x14ac:dyDescent="0.2">
      <c r="A410" s="84" t="s">
        <v>74</v>
      </c>
      <c r="B410" s="134" t="s">
        <v>354</v>
      </c>
      <c r="C410" s="137">
        <v>110</v>
      </c>
      <c r="D410" s="45">
        <f>D411+D412+D413</f>
        <v>4289041.01</v>
      </c>
      <c r="E410" s="45">
        <f>E411+E412+E413</f>
        <v>4289041.01</v>
      </c>
      <c r="F410" s="45">
        <f>F411+F412+F413</f>
        <v>4331631.42</v>
      </c>
      <c r="G410" s="15"/>
      <c r="H410" s="15"/>
      <c r="I410" s="15"/>
      <c r="J410" s="15"/>
    </row>
    <row r="411" spans="1:10" s="5" customFormat="1" ht="12.75" x14ac:dyDescent="0.2">
      <c r="A411" s="84" t="s">
        <v>216</v>
      </c>
      <c r="B411" s="134" t="s">
        <v>354</v>
      </c>
      <c r="C411" s="137">
        <v>111</v>
      </c>
      <c r="D411" s="45">
        <v>3271152.85</v>
      </c>
      <c r="E411" s="45">
        <v>3271152.85</v>
      </c>
      <c r="F411" s="45">
        <v>3303864.38</v>
      </c>
      <c r="G411" s="15"/>
      <c r="H411" s="15"/>
      <c r="I411" s="15"/>
      <c r="J411" s="15"/>
    </row>
    <row r="412" spans="1:10" s="5" customFormat="1" ht="25.5" x14ac:dyDescent="0.2">
      <c r="A412" s="42" t="s">
        <v>218</v>
      </c>
      <c r="B412" s="134" t="s">
        <v>354</v>
      </c>
      <c r="C412" s="137">
        <v>112</v>
      </c>
      <c r="D412" s="45">
        <v>30000</v>
      </c>
      <c r="E412" s="45">
        <v>30000</v>
      </c>
      <c r="F412" s="45">
        <v>30000</v>
      </c>
      <c r="G412" s="15"/>
      <c r="H412" s="15"/>
      <c r="I412" s="15"/>
      <c r="J412" s="15"/>
    </row>
    <row r="413" spans="1:10" s="5" customFormat="1" ht="38.25" x14ac:dyDescent="0.2">
      <c r="A413" s="42" t="s">
        <v>219</v>
      </c>
      <c r="B413" s="134" t="s">
        <v>354</v>
      </c>
      <c r="C413" s="137">
        <v>119</v>
      </c>
      <c r="D413" s="45">
        <v>987888.16</v>
      </c>
      <c r="E413" s="45">
        <v>987888.16</v>
      </c>
      <c r="F413" s="45">
        <v>997767.04</v>
      </c>
      <c r="G413" s="15"/>
      <c r="H413" s="15"/>
      <c r="I413" s="15"/>
      <c r="J413" s="15"/>
    </row>
    <row r="414" spans="1:10" s="5" customFormat="1" ht="25.5" x14ac:dyDescent="0.2">
      <c r="A414" s="42" t="s">
        <v>80</v>
      </c>
      <c r="B414" s="134" t="s">
        <v>354</v>
      </c>
      <c r="C414" s="137">
        <v>200</v>
      </c>
      <c r="D414" s="45">
        <f t="shared" ref="D414:F415" si="159">D415</f>
        <v>133700</v>
      </c>
      <c r="E414" s="45">
        <f t="shared" si="159"/>
        <v>133700</v>
      </c>
      <c r="F414" s="45">
        <f t="shared" si="159"/>
        <v>133700</v>
      </c>
      <c r="G414" s="15"/>
      <c r="H414" s="15"/>
      <c r="I414" s="15"/>
      <c r="J414" s="15"/>
    </row>
    <row r="415" spans="1:10" s="5" customFormat="1" ht="25.5" x14ac:dyDescent="0.2">
      <c r="A415" s="42" t="s">
        <v>221</v>
      </c>
      <c r="B415" s="134" t="s">
        <v>354</v>
      </c>
      <c r="C415" s="137">
        <v>240</v>
      </c>
      <c r="D415" s="45">
        <f t="shared" si="159"/>
        <v>133700</v>
      </c>
      <c r="E415" s="45">
        <f t="shared" si="159"/>
        <v>133700</v>
      </c>
      <c r="F415" s="45">
        <f t="shared" si="159"/>
        <v>133700</v>
      </c>
      <c r="G415" s="15"/>
      <c r="H415" s="15"/>
      <c r="I415" s="15"/>
      <c r="J415" s="15"/>
    </row>
    <row r="416" spans="1:10" s="5" customFormat="1" ht="12.75" x14ac:dyDescent="0.2">
      <c r="A416" s="42" t="s">
        <v>96</v>
      </c>
      <c r="B416" s="134" t="s">
        <v>354</v>
      </c>
      <c r="C416" s="137">
        <v>244</v>
      </c>
      <c r="D416" s="45">
        <v>133700</v>
      </c>
      <c r="E416" s="45">
        <v>133700</v>
      </c>
      <c r="F416" s="45">
        <v>133700</v>
      </c>
      <c r="G416" s="15"/>
      <c r="H416" s="15"/>
      <c r="I416" s="15"/>
      <c r="J416" s="15"/>
    </row>
    <row r="417" spans="1:10" s="3" customFormat="1" ht="12.75" x14ac:dyDescent="0.2">
      <c r="A417" s="84" t="s">
        <v>77</v>
      </c>
      <c r="B417" s="117" t="s">
        <v>47</v>
      </c>
      <c r="C417" s="79"/>
      <c r="D417" s="45">
        <f>D419</f>
        <v>30000</v>
      </c>
      <c r="E417" s="45">
        <f>E419</f>
        <v>30000</v>
      </c>
      <c r="F417" s="45">
        <f>F419</f>
        <v>30000</v>
      </c>
      <c r="G417" s="13"/>
      <c r="H417" s="13"/>
      <c r="I417" s="13"/>
      <c r="J417" s="13"/>
    </row>
    <row r="418" spans="1:10" s="3" customFormat="1" ht="25.5" x14ac:dyDescent="0.2">
      <c r="A418" s="42" t="s">
        <v>80</v>
      </c>
      <c r="B418" s="117" t="s">
        <v>47</v>
      </c>
      <c r="C418" s="79">
        <v>200</v>
      </c>
      <c r="D418" s="45">
        <f t="shared" ref="D418:F419" si="160">D419</f>
        <v>30000</v>
      </c>
      <c r="E418" s="45">
        <f t="shared" si="160"/>
        <v>30000</v>
      </c>
      <c r="F418" s="45">
        <f t="shared" si="160"/>
        <v>30000</v>
      </c>
      <c r="G418" s="13"/>
      <c r="H418" s="13"/>
      <c r="I418" s="13"/>
      <c r="J418" s="13"/>
    </row>
    <row r="419" spans="1:10" s="3" customFormat="1" ht="25.5" x14ac:dyDescent="0.2">
      <c r="A419" s="42" t="s">
        <v>62</v>
      </c>
      <c r="B419" s="117" t="s">
        <v>47</v>
      </c>
      <c r="C419" s="79">
        <v>240</v>
      </c>
      <c r="D419" s="45">
        <f t="shared" si="160"/>
        <v>30000</v>
      </c>
      <c r="E419" s="45">
        <f t="shared" si="160"/>
        <v>30000</v>
      </c>
      <c r="F419" s="45">
        <f t="shared" si="160"/>
        <v>30000</v>
      </c>
      <c r="G419" s="13"/>
      <c r="H419" s="13"/>
      <c r="I419" s="13"/>
      <c r="J419" s="13"/>
    </row>
    <row r="420" spans="1:10" s="3" customFormat="1" ht="12.75" x14ac:dyDescent="0.2">
      <c r="A420" s="92" t="s">
        <v>21</v>
      </c>
      <c r="B420" s="117" t="s">
        <v>47</v>
      </c>
      <c r="C420" s="79">
        <v>244</v>
      </c>
      <c r="D420" s="132">
        <v>30000</v>
      </c>
      <c r="E420" s="132">
        <v>30000</v>
      </c>
      <c r="F420" s="132">
        <v>30000</v>
      </c>
      <c r="G420" s="13"/>
      <c r="H420" s="13"/>
      <c r="I420" s="13"/>
      <c r="J420" s="13"/>
    </row>
    <row r="421" spans="1:10" s="5" customFormat="1" ht="60" customHeight="1" x14ac:dyDescent="0.2">
      <c r="A421" s="56" t="s">
        <v>118</v>
      </c>
      <c r="B421" s="57" t="s">
        <v>117</v>
      </c>
      <c r="C421" s="105"/>
      <c r="D421" s="59">
        <f>D422+D426</f>
        <v>2058626.15</v>
      </c>
      <c r="E421" s="59">
        <f t="shared" ref="E421:F421" si="161">E422+E426</f>
        <v>13460882.32</v>
      </c>
      <c r="F421" s="59">
        <f t="shared" si="161"/>
        <v>3422578.43</v>
      </c>
      <c r="G421" s="15"/>
      <c r="H421" s="15"/>
      <c r="I421" s="15"/>
      <c r="J421" s="15"/>
    </row>
    <row r="422" spans="1:10" s="3" customFormat="1" ht="30" customHeight="1" x14ac:dyDescent="0.2">
      <c r="A422" s="42" t="s">
        <v>263</v>
      </c>
      <c r="B422" s="138" t="s">
        <v>304</v>
      </c>
      <c r="C422" s="139"/>
      <c r="D422" s="45">
        <f t="shared" ref="D422:F424" si="162">D423</f>
        <v>1058626.1499999999</v>
      </c>
      <c r="E422" s="45">
        <f t="shared" si="162"/>
        <v>12500000</v>
      </c>
      <c r="F422" s="45">
        <f t="shared" si="162"/>
        <v>2500000</v>
      </c>
      <c r="G422" s="13"/>
      <c r="H422" s="13"/>
      <c r="I422" s="13"/>
      <c r="J422" s="13"/>
    </row>
    <row r="423" spans="1:10" s="3" customFormat="1" ht="25.5" x14ac:dyDescent="0.2">
      <c r="A423" s="42" t="s">
        <v>80</v>
      </c>
      <c r="B423" s="138" t="s">
        <v>304</v>
      </c>
      <c r="C423" s="140" t="s">
        <v>103</v>
      </c>
      <c r="D423" s="45">
        <f t="shared" si="162"/>
        <v>1058626.1499999999</v>
      </c>
      <c r="E423" s="45">
        <f t="shared" si="162"/>
        <v>12500000</v>
      </c>
      <c r="F423" s="45">
        <f t="shared" si="162"/>
        <v>2500000</v>
      </c>
      <c r="G423" s="13"/>
      <c r="H423" s="13"/>
      <c r="I423" s="13"/>
      <c r="J423" s="13"/>
    </row>
    <row r="424" spans="1:10" s="3" customFormat="1" ht="25.5" x14ac:dyDescent="0.2">
      <c r="A424" s="63" t="s">
        <v>221</v>
      </c>
      <c r="B424" s="138" t="s">
        <v>304</v>
      </c>
      <c r="C424" s="139" t="s">
        <v>104</v>
      </c>
      <c r="D424" s="45">
        <f t="shared" si="162"/>
        <v>1058626.1499999999</v>
      </c>
      <c r="E424" s="45">
        <f t="shared" si="162"/>
        <v>12500000</v>
      </c>
      <c r="F424" s="45">
        <f t="shared" si="162"/>
        <v>2500000</v>
      </c>
      <c r="G424" s="13"/>
      <c r="H424" s="13"/>
      <c r="I424" s="13"/>
      <c r="J424" s="13"/>
    </row>
    <row r="425" spans="1:10" s="3" customFormat="1" ht="12.75" x14ac:dyDescent="0.2">
      <c r="A425" s="63" t="s">
        <v>21</v>
      </c>
      <c r="B425" s="138" t="s">
        <v>304</v>
      </c>
      <c r="C425" s="139" t="s">
        <v>65</v>
      </c>
      <c r="D425" s="45">
        <f>858626.15+200000</f>
        <v>1058626.1499999999</v>
      </c>
      <c r="E425" s="45">
        <f>2500000+10000000</f>
        <v>12500000</v>
      </c>
      <c r="F425" s="45">
        <v>2500000</v>
      </c>
      <c r="G425" s="13"/>
      <c r="H425" s="13"/>
      <c r="I425" s="13"/>
      <c r="J425" s="13"/>
    </row>
    <row r="426" spans="1:10" s="3" customFormat="1" ht="25.5" x14ac:dyDescent="0.2">
      <c r="A426" s="63" t="s">
        <v>454</v>
      </c>
      <c r="B426" s="138" t="s">
        <v>453</v>
      </c>
      <c r="C426" s="139"/>
      <c r="D426" s="45">
        <f t="shared" ref="D426:D428" si="163">D427</f>
        <v>1000000</v>
      </c>
      <c r="E426" s="45">
        <f t="shared" ref="E426:E428" si="164">E427</f>
        <v>960882.32</v>
      </c>
      <c r="F426" s="45">
        <f t="shared" ref="F426:F428" si="165">F427</f>
        <v>922578.43</v>
      </c>
      <c r="G426" s="13"/>
      <c r="H426" s="13"/>
      <c r="I426" s="13"/>
      <c r="J426" s="13"/>
    </row>
    <row r="427" spans="1:10" s="3" customFormat="1" ht="25.5" x14ac:dyDescent="0.2">
      <c r="A427" s="63" t="s">
        <v>469</v>
      </c>
      <c r="B427" s="138" t="s">
        <v>452</v>
      </c>
      <c r="C427" s="139"/>
      <c r="D427" s="45">
        <f t="shared" si="163"/>
        <v>1000000</v>
      </c>
      <c r="E427" s="45">
        <f t="shared" si="164"/>
        <v>960882.32</v>
      </c>
      <c r="F427" s="45">
        <f t="shared" si="165"/>
        <v>922578.43</v>
      </c>
      <c r="G427" s="13"/>
      <c r="H427" s="13"/>
      <c r="I427" s="13"/>
      <c r="J427" s="13"/>
    </row>
    <row r="428" spans="1:10" s="3" customFormat="1" ht="25.5" x14ac:dyDescent="0.2">
      <c r="A428" s="63" t="s">
        <v>80</v>
      </c>
      <c r="B428" s="138" t="s">
        <v>452</v>
      </c>
      <c r="C428" s="139">
        <v>200</v>
      </c>
      <c r="D428" s="45">
        <f t="shared" si="163"/>
        <v>1000000</v>
      </c>
      <c r="E428" s="45">
        <f t="shared" si="164"/>
        <v>960882.32</v>
      </c>
      <c r="F428" s="45">
        <f t="shared" si="165"/>
        <v>922578.43</v>
      </c>
      <c r="G428" s="13"/>
      <c r="H428" s="13"/>
      <c r="I428" s="13"/>
      <c r="J428" s="13"/>
    </row>
    <row r="429" spans="1:10" s="3" customFormat="1" ht="25.5" x14ac:dyDescent="0.2">
      <c r="A429" s="63" t="s">
        <v>221</v>
      </c>
      <c r="B429" s="138" t="s">
        <v>452</v>
      </c>
      <c r="C429" s="139">
        <v>240</v>
      </c>
      <c r="D429" s="45">
        <f>D430</f>
        <v>1000000</v>
      </c>
      <c r="E429" s="45">
        <f t="shared" ref="E429:F429" si="166">E430</f>
        <v>960882.32</v>
      </c>
      <c r="F429" s="45">
        <f t="shared" si="166"/>
        <v>922578.43</v>
      </c>
      <c r="G429" s="13"/>
      <c r="H429" s="13"/>
      <c r="I429" s="13"/>
      <c r="J429" s="13"/>
    </row>
    <row r="430" spans="1:10" s="3" customFormat="1" ht="12.75" x14ac:dyDescent="0.2">
      <c r="A430" s="63" t="s">
        <v>21</v>
      </c>
      <c r="B430" s="138" t="s">
        <v>452</v>
      </c>
      <c r="C430" s="139">
        <v>244</v>
      </c>
      <c r="D430" s="45">
        <v>1000000</v>
      </c>
      <c r="E430" s="45">
        <v>960882.32</v>
      </c>
      <c r="F430" s="45">
        <v>922578.43</v>
      </c>
      <c r="G430" s="13"/>
      <c r="H430" s="13"/>
      <c r="I430" s="13"/>
      <c r="J430" s="13"/>
    </row>
    <row r="431" spans="1:10" s="5" customFormat="1" ht="60" customHeight="1" x14ac:dyDescent="0.2">
      <c r="A431" s="130" t="s">
        <v>303</v>
      </c>
      <c r="B431" s="57" t="s">
        <v>274</v>
      </c>
      <c r="C431" s="105"/>
      <c r="D431" s="59">
        <v>0</v>
      </c>
      <c r="E431" s="59">
        <v>0</v>
      </c>
      <c r="F431" s="59">
        <v>0</v>
      </c>
      <c r="G431" s="15"/>
      <c r="H431" s="15"/>
      <c r="I431" s="15"/>
      <c r="J431" s="15"/>
    </row>
    <row r="432" spans="1:10" s="5" customFormat="1" ht="40.5" x14ac:dyDescent="0.2">
      <c r="A432" s="56" t="s">
        <v>278</v>
      </c>
      <c r="B432" s="57" t="s">
        <v>48</v>
      </c>
      <c r="C432" s="105"/>
      <c r="D432" s="59">
        <f>D433+D437</f>
        <v>2622754.85</v>
      </c>
      <c r="E432" s="59">
        <f>E433+E437</f>
        <v>600000</v>
      </c>
      <c r="F432" s="59">
        <f>F433+F437</f>
        <v>600000</v>
      </c>
      <c r="G432" s="15"/>
      <c r="H432" s="15"/>
      <c r="I432" s="15"/>
      <c r="J432" s="15"/>
    </row>
    <row r="433" spans="1:10" s="5" customFormat="1" ht="25.5" x14ac:dyDescent="0.2">
      <c r="A433" s="42" t="s">
        <v>102</v>
      </c>
      <c r="B433" s="141" t="s">
        <v>302</v>
      </c>
      <c r="C433" s="135"/>
      <c r="D433" s="45">
        <f t="shared" ref="D433:F434" si="167">D434</f>
        <v>600000</v>
      </c>
      <c r="E433" s="45">
        <f t="shared" si="167"/>
        <v>600000</v>
      </c>
      <c r="F433" s="45">
        <f t="shared" si="167"/>
        <v>600000</v>
      </c>
      <c r="G433" s="15"/>
      <c r="H433" s="15"/>
      <c r="I433" s="15"/>
      <c r="J433" s="15"/>
    </row>
    <row r="434" spans="1:10" s="5" customFormat="1" ht="25.5" x14ac:dyDescent="0.2">
      <c r="A434" s="42" t="s">
        <v>78</v>
      </c>
      <c r="B434" s="141" t="s">
        <v>302</v>
      </c>
      <c r="C434" s="137">
        <v>400</v>
      </c>
      <c r="D434" s="45">
        <f t="shared" si="167"/>
        <v>600000</v>
      </c>
      <c r="E434" s="45">
        <f t="shared" si="167"/>
        <v>600000</v>
      </c>
      <c r="F434" s="45">
        <f t="shared" si="167"/>
        <v>600000</v>
      </c>
      <c r="G434" s="15"/>
      <c r="H434" s="15"/>
      <c r="I434" s="15"/>
      <c r="J434" s="15"/>
    </row>
    <row r="435" spans="1:10" s="5" customFormat="1" ht="12.75" x14ac:dyDescent="0.2">
      <c r="A435" s="42" t="s">
        <v>79</v>
      </c>
      <c r="B435" s="141" t="s">
        <v>302</v>
      </c>
      <c r="C435" s="137">
        <v>410</v>
      </c>
      <c r="D435" s="45">
        <f>D436</f>
        <v>600000</v>
      </c>
      <c r="E435" s="45">
        <f>E436</f>
        <v>600000</v>
      </c>
      <c r="F435" s="45">
        <f>F436</f>
        <v>600000</v>
      </c>
      <c r="G435" s="15"/>
      <c r="H435" s="15"/>
      <c r="I435" s="15"/>
      <c r="J435" s="15"/>
    </row>
    <row r="436" spans="1:10" s="5" customFormat="1" ht="25.5" x14ac:dyDescent="0.2">
      <c r="A436" s="42" t="s">
        <v>102</v>
      </c>
      <c r="B436" s="141" t="s">
        <v>302</v>
      </c>
      <c r="C436" s="137">
        <v>414</v>
      </c>
      <c r="D436" s="45">
        <v>600000</v>
      </c>
      <c r="E436" s="45">
        <v>600000</v>
      </c>
      <c r="F436" s="45">
        <v>600000</v>
      </c>
      <c r="G436" s="15"/>
      <c r="H436" s="15"/>
      <c r="I436" s="15"/>
      <c r="J436" s="15"/>
    </row>
    <row r="437" spans="1:10" s="5" customFormat="1" ht="12.75" x14ac:dyDescent="0.2">
      <c r="A437" s="42" t="s">
        <v>283</v>
      </c>
      <c r="B437" s="43" t="s">
        <v>401</v>
      </c>
      <c r="C437" s="102"/>
      <c r="D437" s="45">
        <f>D438+D441</f>
        <v>2022754.85</v>
      </c>
      <c r="E437" s="45">
        <f t="shared" ref="E437:F437" si="168">E438+E441</f>
        <v>0</v>
      </c>
      <c r="F437" s="45">
        <f t="shared" si="168"/>
        <v>0</v>
      </c>
      <c r="G437" s="15"/>
      <c r="H437" s="15"/>
      <c r="I437" s="15"/>
      <c r="J437" s="15"/>
    </row>
    <row r="438" spans="1:10" s="3" customFormat="1" ht="25.5" x14ac:dyDescent="0.2">
      <c r="A438" s="42" t="s">
        <v>80</v>
      </c>
      <c r="B438" s="43" t="s">
        <v>401</v>
      </c>
      <c r="C438" s="102">
        <v>200</v>
      </c>
      <c r="D438" s="45">
        <f>D439</f>
        <v>0</v>
      </c>
      <c r="E438" s="45">
        <f t="shared" ref="E438:F439" si="169">E439</f>
        <v>0</v>
      </c>
      <c r="F438" s="45">
        <f t="shared" si="169"/>
        <v>0</v>
      </c>
      <c r="G438" s="13"/>
      <c r="H438" s="13"/>
      <c r="I438" s="13"/>
      <c r="J438" s="13"/>
    </row>
    <row r="439" spans="1:10" s="3" customFormat="1" ht="25.5" x14ac:dyDescent="0.2">
      <c r="A439" s="42" t="s">
        <v>62</v>
      </c>
      <c r="B439" s="43" t="s">
        <v>401</v>
      </c>
      <c r="C439" s="102">
        <v>240</v>
      </c>
      <c r="D439" s="45">
        <f>D440</f>
        <v>0</v>
      </c>
      <c r="E439" s="45">
        <f t="shared" si="169"/>
        <v>0</v>
      </c>
      <c r="F439" s="45">
        <f t="shared" si="169"/>
        <v>0</v>
      </c>
      <c r="G439" s="13"/>
      <c r="H439" s="13"/>
      <c r="I439" s="13"/>
      <c r="J439" s="13"/>
    </row>
    <row r="440" spans="1:10" s="3" customFormat="1" ht="12.75" x14ac:dyDescent="0.2">
      <c r="A440" s="42" t="s">
        <v>21</v>
      </c>
      <c r="B440" s="43" t="s">
        <v>401</v>
      </c>
      <c r="C440" s="102">
        <v>244</v>
      </c>
      <c r="D440" s="45">
        <v>0</v>
      </c>
      <c r="E440" s="45">
        <v>0</v>
      </c>
      <c r="F440" s="45">
        <v>0</v>
      </c>
      <c r="G440" s="13"/>
      <c r="H440" s="13"/>
      <c r="I440" s="13"/>
      <c r="J440" s="13"/>
    </row>
    <row r="441" spans="1:10" s="3" customFormat="1" ht="12.75" x14ac:dyDescent="0.2">
      <c r="A441" s="52" t="s">
        <v>83</v>
      </c>
      <c r="B441" s="43" t="s">
        <v>401</v>
      </c>
      <c r="C441" s="102">
        <v>800</v>
      </c>
      <c r="D441" s="45">
        <f>D442</f>
        <v>2022754.85</v>
      </c>
      <c r="E441" s="45">
        <f t="shared" ref="E441:F441" si="170">E442</f>
        <v>0</v>
      </c>
      <c r="F441" s="45">
        <f t="shared" si="170"/>
        <v>0</v>
      </c>
      <c r="G441" s="13"/>
      <c r="H441" s="13"/>
      <c r="I441" s="13"/>
      <c r="J441" s="13"/>
    </row>
    <row r="442" spans="1:10" s="3" customFormat="1" ht="12.75" x14ac:dyDescent="0.2">
      <c r="A442" s="52" t="s">
        <v>159</v>
      </c>
      <c r="B442" s="43" t="s">
        <v>401</v>
      </c>
      <c r="C442" s="102">
        <v>850</v>
      </c>
      <c r="D442" s="45">
        <v>2022754.85</v>
      </c>
      <c r="E442" s="45"/>
      <c r="F442" s="45"/>
      <c r="G442" s="13"/>
      <c r="H442" s="13"/>
      <c r="I442" s="13"/>
      <c r="J442" s="13"/>
    </row>
    <row r="443" spans="1:10" s="5" customFormat="1" ht="27" x14ac:dyDescent="0.2">
      <c r="A443" s="56" t="s">
        <v>236</v>
      </c>
      <c r="B443" s="57" t="s">
        <v>95</v>
      </c>
      <c r="C443" s="105"/>
      <c r="D443" s="59">
        <v>0</v>
      </c>
      <c r="E443" s="59">
        <v>0</v>
      </c>
      <c r="F443" s="59">
        <v>0</v>
      </c>
      <c r="G443" s="15"/>
      <c r="H443" s="15"/>
      <c r="I443" s="15"/>
      <c r="J443" s="15"/>
    </row>
    <row r="444" spans="1:10" s="5" customFormat="1" ht="40.5" x14ac:dyDescent="0.2">
      <c r="A444" s="56" t="s">
        <v>119</v>
      </c>
      <c r="B444" s="57" t="s">
        <v>120</v>
      </c>
      <c r="C444" s="105"/>
      <c r="D444" s="59">
        <f>D445</f>
        <v>75000</v>
      </c>
      <c r="E444" s="59">
        <f>E445</f>
        <v>75000</v>
      </c>
      <c r="F444" s="59">
        <f>F445</f>
        <v>75000</v>
      </c>
      <c r="G444" s="15"/>
      <c r="H444" s="15"/>
      <c r="I444" s="15"/>
      <c r="J444" s="15"/>
    </row>
    <row r="445" spans="1:10" s="3" customFormat="1" ht="25.5" x14ac:dyDescent="0.2">
      <c r="A445" s="42" t="s">
        <v>121</v>
      </c>
      <c r="B445" s="142" t="s">
        <v>122</v>
      </c>
      <c r="C445" s="79"/>
      <c r="D445" s="50">
        <f>D447</f>
        <v>75000</v>
      </c>
      <c r="E445" s="50">
        <f>E447</f>
        <v>75000</v>
      </c>
      <c r="F445" s="50">
        <f>F447</f>
        <v>75000</v>
      </c>
      <c r="G445" s="13"/>
      <c r="H445" s="13"/>
      <c r="I445" s="13"/>
      <c r="J445" s="13"/>
    </row>
    <row r="446" spans="1:10" s="3" customFormat="1" ht="25.5" x14ac:dyDescent="0.2">
      <c r="A446" s="52" t="s">
        <v>81</v>
      </c>
      <c r="B446" s="142" t="s">
        <v>122</v>
      </c>
      <c r="C446" s="44">
        <v>600</v>
      </c>
      <c r="D446" s="50">
        <f t="shared" ref="D446:F447" si="171">D447</f>
        <v>75000</v>
      </c>
      <c r="E446" s="50">
        <f t="shared" si="171"/>
        <v>75000</v>
      </c>
      <c r="F446" s="50">
        <f t="shared" si="171"/>
        <v>75000</v>
      </c>
      <c r="G446" s="13"/>
      <c r="H446" s="13"/>
      <c r="I446" s="13"/>
      <c r="J446" s="13"/>
    </row>
    <row r="447" spans="1:10" s="3" customFormat="1" ht="25.5" x14ac:dyDescent="0.2">
      <c r="A447" s="52" t="s">
        <v>88</v>
      </c>
      <c r="B447" s="142" t="s">
        <v>122</v>
      </c>
      <c r="C447" s="129">
        <v>630</v>
      </c>
      <c r="D447" s="50">
        <f t="shared" si="171"/>
        <v>75000</v>
      </c>
      <c r="E447" s="50">
        <f t="shared" si="171"/>
        <v>75000</v>
      </c>
      <c r="F447" s="50">
        <f t="shared" si="171"/>
        <v>75000</v>
      </c>
      <c r="G447" s="13"/>
      <c r="H447" s="13"/>
      <c r="I447" s="13"/>
      <c r="J447" s="13"/>
    </row>
    <row r="448" spans="1:10" s="3" customFormat="1" ht="25.5" x14ac:dyDescent="0.2">
      <c r="A448" s="52" t="s">
        <v>89</v>
      </c>
      <c r="B448" s="142" t="s">
        <v>122</v>
      </c>
      <c r="C448" s="51" t="s">
        <v>123</v>
      </c>
      <c r="D448" s="50">
        <v>75000</v>
      </c>
      <c r="E448" s="50">
        <v>75000</v>
      </c>
      <c r="F448" s="50">
        <v>75000</v>
      </c>
      <c r="G448" s="13"/>
      <c r="H448" s="13"/>
      <c r="I448" s="13"/>
      <c r="J448" s="13"/>
    </row>
    <row r="449" spans="1:10" s="5" customFormat="1" ht="40.5" x14ac:dyDescent="0.2">
      <c r="A449" s="98" t="s">
        <v>305</v>
      </c>
      <c r="B449" s="142" t="s">
        <v>306</v>
      </c>
      <c r="C449" s="143"/>
      <c r="D449" s="144">
        <f>D450+D468</f>
        <v>43615202.579999998</v>
      </c>
      <c r="E449" s="144">
        <f>E450+E468</f>
        <v>55128878.289999999</v>
      </c>
      <c r="F449" s="144">
        <f>F450+F468</f>
        <v>56688367.269999996</v>
      </c>
      <c r="G449" s="15"/>
      <c r="H449" s="15"/>
      <c r="I449" s="15"/>
      <c r="J449" s="15"/>
    </row>
    <row r="450" spans="1:10" s="5" customFormat="1" ht="25.5" x14ac:dyDescent="0.2">
      <c r="A450" s="74" t="s">
        <v>317</v>
      </c>
      <c r="B450" s="142" t="s">
        <v>318</v>
      </c>
      <c r="C450" s="129"/>
      <c r="D450" s="145">
        <f>D451+D463</f>
        <v>16615202.58</v>
      </c>
      <c r="E450" s="145">
        <f>E451+E463</f>
        <v>17128878.289999999</v>
      </c>
      <c r="F450" s="145">
        <f>F451+F463</f>
        <v>15688367.27</v>
      </c>
      <c r="G450" s="15"/>
      <c r="H450" s="15"/>
      <c r="I450" s="15"/>
      <c r="J450" s="15"/>
    </row>
    <row r="451" spans="1:10" s="5" customFormat="1" ht="25.5" x14ac:dyDescent="0.2">
      <c r="A451" s="74" t="s">
        <v>60</v>
      </c>
      <c r="B451" s="142" t="s">
        <v>319</v>
      </c>
      <c r="C451" s="129"/>
      <c r="D451" s="145">
        <f>D452+D457+D460</f>
        <v>15546002.58</v>
      </c>
      <c r="E451" s="145">
        <f>E452+E457+E460</f>
        <v>15546002.58</v>
      </c>
      <c r="F451" s="145">
        <f>F452+F457+F460</f>
        <v>15688367.27</v>
      </c>
      <c r="G451" s="15"/>
      <c r="H451" s="15"/>
      <c r="I451" s="15"/>
      <c r="J451" s="15"/>
    </row>
    <row r="452" spans="1:10" s="5" customFormat="1" ht="51" x14ac:dyDescent="0.2">
      <c r="A452" s="74" t="s">
        <v>82</v>
      </c>
      <c r="B452" s="142" t="s">
        <v>319</v>
      </c>
      <c r="C452" s="129">
        <v>100</v>
      </c>
      <c r="D452" s="145">
        <f>D453</f>
        <v>14411469.58</v>
      </c>
      <c r="E452" s="145">
        <f>E453</f>
        <v>14411469.58</v>
      </c>
      <c r="F452" s="145">
        <f>F453</f>
        <v>14553834.27</v>
      </c>
      <c r="G452" s="15"/>
      <c r="H452" s="15"/>
      <c r="I452" s="15"/>
      <c r="J452" s="15"/>
    </row>
    <row r="453" spans="1:10" s="5" customFormat="1" ht="25.5" x14ac:dyDescent="0.2">
      <c r="A453" s="74" t="s">
        <v>61</v>
      </c>
      <c r="B453" s="142" t="s">
        <v>319</v>
      </c>
      <c r="C453" s="129">
        <v>120</v>
      </c>
      <c r="D453" s="145">
        <f>D454+D455+D456</f>
        <v>14411469.58</v>
      </c>
      <c r="E453" s="145">
        <f>E454+E455+E456</f>
        <v>14411469.58</v>
      </c>
      <c r="F453" s="145">
        <f>F454+F455+F456</f>
        <v>14553834.27</v>
      </c>
      <c r="G453" s="15"/>
      <c r="H453" s="15"/>
      <c r="I453" s="15"/>
      <c r="J453" s="15"/>
    </row>
    <row r="454" spans="1:10" s="5" customFormat="1" ht="12.75" x14ac:dyDescent="0.2">
      <c r="A454" s="74" t="s">
        <v>7</v>
      </c>
      <c r="B454" s="142" t="s">
        <v>319</v>
      </c>
      <c r="C454" s="129">
        <v>121</v>
      </c>
      <c r="D454" s="145">
        <v>10934308.43</v>
      </c>
      <c r="E454" s="145">
        <v>10934308.43</v>
      </c>
      <c r="F454" s="145">
        <v>11043651.51</v>
      </c>
      <c r="G454" s="15"/>
      <c r="H454" s="15"/>
      <c r="I454" s="15"/>
      <c r="J454" s="15"/>
    </row>
    <row r="455" spans="1:10" s="5" customFormat="1" ht="25.5" x14ac:dyDescent="0.2">
      <c r="A455" s="74" t="s">
        <v>158</v>
      </c>
      <c r="B455" s="142" t="s">
        <v>319</v>
      </c>
      <c r="C455" s="129">
        <v>122</v>
      </c>
      <c r="D455" s="145">
        <v>175000</v>
      </c>
      <c r="E455" s="145">
        <v>175000</v>
      </c>
      <c r="F455" s="145">
        <v>175000</v>
      </c>
      <c r="G455" s="15"/>
      <c r="H455" s="15"/>
      <c r="I455" s="15"/>
      <c r="J455" s="15"/>
    </row>
    <row r="456" spans="1:10" s="5" customFormat="1" ht="38.25" x14ac:dyDescent="0.2">
      <c r="A456" s="74" t="s">
        <v>6</v>
      </c>
      <c r="B456" s="142" t="s">
        <v>319</v>
      </c>
      <c r="C456" s="129">
        <v>129</v>
      </c>
      <c r="D456" s="145">
        <v>3302161.15</v>
      </c>
      <c r="E456" s="145">
        <v>3302161.15</v>
      </c>
      <c r="F456" s="145">
        <v>3335182.76</v>
      </c>
      <c r="G456" s="15"/>
      <c r="H456" s="15"/>
      <c r="I456" s="15"/>
      <c r="J456" s="15"/>
    </row>
    <row r="457" spans="1:10" s="5" customFormat="1" ht="25.5" x14ac:dyDescent="0.2">
      <c r="A457" s="74" t="s">
        <v>80</v>
      </c>
      <c r="B457" s="142" t="s">
        <v>319</v>
      </c>
      <c r="C457" s="129">
        <v>200</v>
      </c>
      <c r="D457" s="145">
        <f t="shared" ref="D457:F458" si="172">D458</f>
        <v>1034533</v>
      </c>
      <c r="E457" s="145">
        <f t="shared" si="172"/>
        <v>1034533</v>
      </c>
      <c r="F457" s="145">
        <f t="shared" si="172"/>
        <v>1034533</v>
      </c>
      <c r="G457" s="15"/>
      <c r="H457" s="15"/>
      <c r="I457" s="15"/>
      <c r="J457" s="15"/>
    </row>
    <row r="458" spans="1:10" s="5" customFormat="1" ht="25.5" x14ac:dyDescent="0.2">
      <c r="A458" s="74" t="s">
        <v>62</v>
      </c>
      <c r="B458" s="142" t="s">
        <v>319</v>
      </c>
      <c r="C458" s="129">
        <v>240</v>
      </c>
      <c r="D458" s="145">
        <f t="shared" si="172"/>
        <v>1034533</v>
      </c>
      <c r="E458" s="145">
        <f t="shared" si="172"/>
        <v>1034533</v>
      </c>
      <c r="F458" s="145">
        <f t="shared" si="172"/>
        <v>1034533</v>
      </c>
      <c r="G458" s="15"/>
      <c r="H458" s="15"/>
      <c r="I458" s="15"/>
      <c r="J458" s="15"/>
    </row>
    <row r="459" spans="1:10" s="5" customFormat="1" ht="12.75" x14ac:dyDescent="0.2">
      <c r="A459" s="74" t="s">
        <v>21</v>
      </c>
      <c r="B459" s="142" t="s">
        <v>319</v>
      </c>
      <c r="C459" s="129">
        <v>244</v>
      </c>
      <c r="D459" s="145">
        <v>1034533</v>
      </c>
      <c r="E459" s="145">
        <v>1034533</v>
      </c>
      <c r="F459" s="145">
        <v>1034533</v>
      </c>
      <c r="G459" s="15"/>
      <c r="H459" s="15"/>
      <c r="I459" s="15"/>
      <c r="J459" s="15"/>
    </row>
    <row r="460" spans="1:10" s="5" customFormat="1" ht="12.75" x14ac:dyDescent="0.2">
      <c r="A460" s="74" t="s">
        <v>83</v>
      </c>
      <c r="B460" s="142" t="s">
        <v>319</v>
      </c>
      <c r="C460" s="129">
        <v>800</v>
      </c>
      <c r="D460" s="145">
        <f t="shared" ref="D460:F461" si="173">D461</f>
        <v>100000</v>
      </c>
      <c r="E460" s="145">
        <f t="shared" si="173"/>
        <v>100000</v>
      </c>
      <c r="F460" s="145">
        <f t="shared" si="173"/>
        <v>100000</v>
      </c>
      <c r="G460" s="15"/>
      <c r="H460" s="15"/>
      <c r="I460" s="15"/>
      <c r="J460" s="15"/>
    </row>
    <row r="461" spans="1:10" s="5" customFormat="1" ht="12.75" x14ac:dyDescent="0.2">
      <c r="A461" s="74" t="s">
        <v>186</v>
      </c>
      <c r="B461" s="142" t="s">
        <v>319</v>
      </c>
      <c r="C461" s="129">
        <v>830</v>
      </c>
      <c r="D461" s="145">
        <f t="shared" si="173"/>
        <v>100000</v>
      </c>
      <c r="E461" s="145">
        <f t="shared" si="173"/>
        <v>100000</v>
      </c>
      <c r="F461" s="145">
        <f t="shared" si="173"/>
        <v>100000</v>
      </c>
      <c r="G461" s="15"/>
      <c r="H461" s="15"/>
      <c r="I461" s="15"/>
      <c r="J461" s="15"/>
    </row>
    <row r="462" spans="1:10" s="5" customFormat="1" ht="25.5" x14ac:dyDescent="0.2">
      <c r="A462" s="74" t="s">
        <v>187</v>
      </c>
      <c r="B462" s="142" t="s">
        <v>319</v>
      </c>
      <c r="C462" s="129">
        <v>831</v>
      </c>
      <c r="D462" s="145">
        <v>100000</v>
      </c>
      <c r="E462" s="145">
        <v>100000</v>
      </c>
      <c r="F462" s="145">
        <v>100000</v>
      </c>
      <c r="G462" s="15"/>
      <c r="H462" s="15"/>
      <c r="I462" s="15"/>
      <c r="J462" s="15"/>
    </row>
    <row r="463" spans="1:10" s="5" customFormat="1" ht="25.5" x14ac:dyDescent="0.2">
      <c r="A463" s="74" t="s">
        <v>190</v>
      </c>
      <c r="B463" s="142" t="s">
        <v>320</v>
      </c>
      <c r="C463" s="51"/>
      <c r="D463" s="145">
        <f>D464</f>
        <v>1069200</v>
      </c>
      <c r="E463" s="145">
        <f t="shared" ref="E463:F465" si="174">E464</f>
        <v>1582875.71</v>
      </c>
      <c r="F463" s="145">
        <f t="shared" si="174"/>
        <v>0</v>
      </c>
      <c r="G463" s="15"/>
      <c r="H463" s="15"/>
      <c r="I463" s="15"/>
      <c r="J463" s="15"/>
    </row>
    <row r="464" spans="1:10" s="5" customFormat="1" ht="12.75" x14ac:dyDescent="0.2">
      <c r="A464" s="74" t="s">
        <v>169</v>
      </c>
      <c r="B464" s="142" t="s">
        <v>320</v>
      </c>
      <c r="C464" s="51" t="s">
        <v>191</v>
      </c>
      <c r="D464" s="145">
        <f>D465</f>
        <v>1069200</v>
      </c>
      <c r="E464" s="145">
        <f t="shared" si="174"/>
        <v>1582875.71</v>
      </c>
      <c r="F464" s="145">
        <f t="shared" si="174"/>
        <v>0</v>
      </c>
      <c r="G464" s="15"/>
      <c r="H464" s="15"/>
      <c r="I464" s="15"/>
      <c r="J464" s="15"/>
    </row>
    <row r="465" spans="1:10" s="5" customFormat="1" ht="12.75" x14ac:dyDescent="0.2">
      <c r="A465" s="74" t="s">
        <v>186</v>
      </c>
      <c r="B465" s="142" t="s">
        <v>320</v>
      </c>
      <c r="C465" s="51" t="s">
        <v>192</v>
      </c>
      <c r="D465" s="145">
        <f>D466</f>
        <v>1069200</v>
      </c>
      <c r="E465" s="145">
        <f t="shared" si="174"/>
        <v>1582875.71</v>
      </c>
      <c r="F465" s="145">
        <f t="shared" si="174"/>
        <v>0</v>
      </c>
      <c r="G465" s="15"/>
      <c r="H465" s="15"/>
      <c r="I465" s="15"/>
      <c r="J465" s="15"/>
    </row>
    <row r="466" spans="1:10" s="5" customFormat="1" ht="25.5" x14ac:dyDescent="0.2">
      <c r="A466" s="74" t="s">
        <v>187</v>
      </c>
      <c r="B466" s="142" t="s">
        <v>320</v>
      </c>
      <c r="C466" s="51" t="s">
        <v>193</v>
      </c>
      <c r="D466" s="145">
        <v>1069200</v>
      </c>
      <c r="E466" s="145">
        <v>1582875.71</v>
      </c>
      <c r="F466" s="145">
        <v>0</v>
      </c>
      <c r="G466" s="15"/>
      <c r="H466" s="15"/>
      <c r="I466" s="15"/>
      <c r="J466" s="15"/>
    </row>
    <row r="467" spans="1:10" s="5" customFormat="1" ht="25.5" x14ac:dyDescent="0.2">
      <c r="A467" s="74" t="s">
        <v>315</v>
      </c>
      <c r="B467" s="142" t="s">
        <v>316</v>
      </c>
      <c r="C467" s="146"/>
      <c r="D467" s="145">
        <f t="shared" ref="D467:F469" si="175">D468</f>
        <v>27000000</v>
      </c>
      <c r="E467" s="145">
        <f t="shared" si="175"/>
        <v>38000000</v>
      </c>
      <c r="F467" s="145">
        <f t="shared" si="175"/>
        <v>41000000</v>
      </c>
      <c r="G467" s="15"/>
      <c r="H467" s="15"/>
      <c r="I467" s="15"/>
      <c r="J467" s="15"/>
    </row>
    <row r="468" spans="1:10" s="3" customFormat="1" ht="12.75" x14ac:dyDescent="0.2">
      <c r="A468" s="52" t="s">
        <v>210</v>
      </c>
      <c r="B468" s="142" t="s">
        <v>314</v>
      </c>
      <c r="C468" s="147"/>
      <c r="D468" s="148">
        <f t="shared" si="175"/>
        <v>27000000</v>
      </c>
      <c r="E468" s="148">
        <f t="shared" si="175"/>
        <v>38000000</v>
      </c>
      <c r="F468" s="148">
        <f t="shared" si="175"/>
        <v>41000000</v>
      </c>
      <c r="G468" s="13"/>
      <c r="H468" s="13"/>
      <c r="I468" s="13"/>
      <c r="J468" s="13"/>
    </row>
    <row r="469" spans="1:10" s="3" customFormat="1" ht="12.75" x14ac:dyDescent="0.2">
      <c r="A469" s="52" t="s">
        <v>211</v>
      </c>
      <c r="B469" s="142" t="s">
        <v>314</v>
      </c>
      <c r="C469" s="147" t="s">
        <v>212</v>
      </c>
      <c r="D469" s="148">
        <f t="shared" si="175"/>
        <v>27000000</v>
      </c>
      <c r="E469" s="148">
        <f t="shared" si="175"/>
        <v>38000000</v>
      </c>
      <c r="F469" s="148">
        <f t="shared" si="175"/>
        <v>41000000</v>
      </c>
      <c r="G469" s="13"/>
      <c r="H469" s="13"/>
      <c r="I469" s="13"/>
      <c r="J469" s="13"/>
    </row>
    <row r="470" spans="1:10" s="3" customFormat="1" ht="12.75" x14ac:dyDescent="0.2">
      <c r="A470" s="52" t="s">
        <v>210</v>
      </c>
      <c r="B470" s="142" t="s">
        <v>314</v>
      </c>
      <c r="C470" s="147" t="s">
        <v>213</v>
      </c>
      <c r="D470" s="148">
        <v>27000000</v>
      </c>
      <c r="E470" s="148">
        <v>38000000</v>
      </c>
      <c r="F470" s="148">
        <v>41000000</v>
      </c>
      <c r="G470" s="13"/>
      <c r="H470" s="13"/>
      <c r="I470" s="13"/>
      <c r="J470" s="13"/>
    </row>
    <row r="471" spans="1:10" s="3" customFormat="1" ht="27" x14ac:dyDescent="0.2">
      <c r="A471" s="149" t="s">
        <v>310</v>
      </c>
      <c r="B471" s="150" t="s">
        <v>311</v>
      </c>
      <c r="C471" s="151"/>
      <c r="D471" s="152">
        <f>D472</f>
        <v>1149000</v>
      </c>
      <c r="E471" s="152">
        <f t="shared" ref="E471:F471" si="176">E472</f>
        <v>1149000</v>
      </c>
      <c r="F471" s="152">
        <f t="shared" si="176"/>
        <v>1149000</v>
      </c>
      <c r="G471" s="13"/>
      <c r="H471" s="13"/>
      <c r="I471" s="13"/>
      <c r="J471" s="13"/>
    </row>
    <row r="472" spans="1:10" s="3" customFormat="1" ht="12.75" x14ac:dyDescent="0.2">
      <c r="A472" s="52" t="s">
        <v>281</v>
      </c>
      <c r="B472" s="64" t="s">
        <v>312</v>
      </c>
      <c r="C472" s="51"/>
      <c r="D472" s="145">
        <f>D473</f>
        <v>1149000</v>
      </c>
      <c r="E472" s="145">
        <f t="shared" ref="E472:F473" si="177">E473</f>
        <v>1149000</v>
      </c>
      <c r="F472" s="145">
        <f t="shared" si="177"/>
        <v>1149000</v>
      </c>
      <c r="G472" s="13"/>
      <c r="H472" s="13"/>
      <c r="I472" s="13"/>
      <c r="J472" s="13"/>
    </row>
    <row r="473" spans="1:10" s="3" customFormat="1" ht="25.5" x14ac:dyDescent="0.2">
      <c r="A473" s="52" t="s">
        <v>80</v>
      </c>
      <c r="B473" s="64" t="s">
        <v>312</v>
      </c>
      <c r="C473" s="51">
        <v>200</v>
      </c>
      <c r="D473" s="145">
        <f>D474</f>
        <v>1149000</v>
      </c>
      <c r="E473" s="145">
        <f t="shared" si="177"/>
        <v>1149000</v>
      </c>
      <c r="F473" s="145">
        <f t="shared" si="177"/>
        <v>1149000</v>
      </c>
      <c r="G473" s="13"/>
      <c r="H473" s="13"/>
      <c r="I473" s="13"/>
      <c r="J473" s="13"/>
    </row>
    <row r="474" spans="1:10" s="3" customFormat="1" ht="25.5" x14ac:dyDescent="0.2">
      <c r="A474" s="52" t="s">
        <v>62</v>
      </c>
      <c r="B474" s="64" t="s">
        <v>313</v>
      </c>
      <c r="C474" s="51">
        <v>240</v>
      </c>
      <c r="D474" s="145">
        <f>D475</f>
        <v>1149000</v>
      </c>
      <c r="E474" s="145">
        <f>E475</f>
        <v>1149000</v>
      </c>
      <c r="F474" s="145">
        <f>F475</f>
        <v>1149000</v>
      </c>
      <c r="G474" s="13"/>
      <c r="H474" s="13"/>
      <c r="I474" s="13"/>
      <c r="J474" s="13"/>
    </row>
    <row r="475" spans="1:10" s="3" customFormat="1" ht="12.75" x14ac:dyDescent="0.2">
      <c r="A475" s="52" t="s">
        <v>96</v>
      </c>
      <c r="B475" s="64" t="s">
        <v>312</v>
      </c>
      <c r="C475" s="51">
        <v>244</v>
      </c>
      <c r="D475" s="145">
        <v>1149000</v>
      </c>
      <c r="E475" s="145">
        <v>1149000</v>
      </c>
      <c r="F475" s="145">
        <v>1149000</v>
      </c>
      <c r="G475" s="13"/>
      <c r="H475" s="13"/>
      <c r="I475" s="13"/>
      <c r="J475" s="13"/>
    </row>
    <row r="476" spans="1:10" s="3" customFormat="1" ht="40.5" x14ac:dyDescent="0.2">
      <c r="A476" s="149" t="s">
        <v>403</v>
      </c>
      <c r="B476" s="150" t="s">
        <v>402</v>
      </c>
      <c r="C476" s="151"/>
      <c r="D476" s="152">
        <f>D477+D484</f>
        <v>54379965.200000003</v>
      </c>
      <c r="E476" s="152">
        <f t="shared" ref="E476:F476" si="178">E477+E484</f>
        <v>59480113.399999999</v>
      </c>
      <c r="F476" s="152">
        <f t="shared" si="178"/>
        <v>0</v>
      </c>
      <c r="G476" s="13"/>
      <c r="H476" s="13"/>
      <c r="I476" s="13"/>
      <c r="J476" s="13"/>
    </row>
    <row r="477" spans="1:10" s="3" customFormat="1" ht="25.5" x14ac:dyDescent="0.2">
      <c r="A477" s="52" t="s">
        <v>184</v>
      </c>
      <c r="B477" s="64" t="s">
        <v>404</v>
      </c>
      <c r="C477" s="151"/>
      <c r="D477" s="145">
        <f>D481+D478</f>
        <v>321445.2</v>
      </c>
      <c r="E477" s="145">
        <f t="shared" ref="E477:F477" si="179">E481+E478</f>
        <v>23.399999999906868</v>
      </c>
      <c r="F477" s="145">
        <f t="shared" si="179"/>
        <v>0</v>
      </c>
      <c r="G477" s="13"/>
      <c r="H477" s="13"/>
      <c r="I477" s="13"/>
      <c r="J477" s="13"/>
    </row>
    <row r="478" spans="1:10" s="3" customFormat="1" ht="25.5" x14ac:dyDescent="0.2">
      <c r="A478" s="52" t="s">
        <v>80</v>
      </c>
      <c r="B478" s="64" t="s">
        <v>404</v>
      </c>
      <c r="C478" s="51">
        <v>200</v>
      </c>
      <c r="D478" s="145">
        <f>D479</f>
        <v>0</v>
      </c>
      <c r="E478" s="145">
        <f t="shared" ref="E478" si="180">E479</f>
        <v>23.399999999906868</v>
      </c>
      <c r="F478" s="145">
        <f t="shared" ref="F478" si="181">F479</f>
        <v>0</v>
      </c>
      <c r="G478" s="13"/>
      <c r="H478" s="13"/>
      <c r="I478" s="13"/>
      <c r="J478" s="13"/>
    </row>
    <row r="479" spans="1:10" s="3" customFormat="1" ht="25.5" x14ac:dyDescent="0.2">
      <c r="A479" s="52" t="s">
        <v>221</v>
      </c>
      <c r="B479" s="64" t="s">
        <v>404</v>
      </c>
      <c r="C479" s="51">
        <v>240</v>
      </c>
      <c r="D479" s="145">
        <f>D480</f>
        <v>0</v>
      </c>
      <c r="E479" s="145">
        <f t="shared" ref="E479:F479" si="182">E480</f>
        <v>23.399999999906868</v>
      </c>
      <c r="F479" s="145">
        <f t="shared" si="182"/>
        <v>0</v>
      </c>
      <c r="G479" s="13"/>
      <c r="H479" s="13"/>
      <c r="I479" s="13"/>
      <c r="J479" s="13"/>
    </row>
    <row r="480" spans="1:10" s="3" customFormat="1" ht="25.5" x14ac:dyDescent="0.2">
      <c r="A480" s="82" t="s">
        <v>344</v>
      </c>
      <c r="B480" s="64" t="s">
        <v>404</v>
      </c>
      <c r="C480" s="51">
        <v>243</v>
      </c>
      <c r="D480" s="145">
        <v>0</v>
      </c>
      <c r="E480" s="145">
        <f>2289983.02-2289959.62</f>
        <v>23.399999999906868</v>
      </c>
      <c r="F480" s="145"/>
      <c r="G480" s="13"/>
      <c r="H480" s="13"/>
      <c r="I480" s="13"/>
      <c r="J480" s="13"/>
    </row>
    <row r="481" spans="1:10" s="3" customFormat="1" ht="25.5" x14ac:dyDescent="0.2">
      <c r="A481" s="52" t="s">
        <v>78</v>
      </c>
      <c r="B481" s="64" t="s">
        <v>404</v>
      </c>
      <c r="C481" s="51">
        <v>400</v>
      </c>
      <c r="D481" s="145">
        <f>D482</f>
        <v>321445.2</v>
      </c>
      <c r="E481" s="145">
        <f t="shared" ref="E481:F482" si="183">E482</f>
        <v>0</v>
      </c>
      <c r="F481" s="145">
        <f t="shared" si="183"/>
        <v>0</v>
      </c>
      <c r="G481" s="13"/>
      <c r="H481" s="13"/>
      <c r="I481" s="13"/>
      <c r="J481" s="13"/>
    </row>
    <row r="482" spans="1:10" s="3" customFormat="1" ht="12.75" x14ac:dyDescent="0.2">
      <c r="A482" s="52" t="s">
        <v>79</v>
      </c>
      <c r="B482" s="64" t="s">
        <v>404</v>
      </c>
      <c r="C482" s="51">
        <v>410</v>
      </c>
      <c r="D482" s="145">
        <f>D483</f>
        <v>321445.2</v>
      </c>
      <c r="E482" s="145">
        <f t="shared" si="183"/>
        <v>0</v>
      </c>
      <c r="F482" s="145">
        <f t="shared" si="183"/>
        <v>0</v>
      </c>
      <c r="G482" s="13"/>
      <c r="H482" s="13"/>
      <c r="I482" s="13"/>
      <c r="J482" s="13"/>
    </row>
    <row r="483" spans="1:10" s="3" customFormat="1" ht="25.5" x14ac:dyDescent="0.2">
      <c r="A483" s="52" t="s">
        <v>102</v>
      </c>
      <c r="B483" s="64" t="s">
        <v>404</v>
      </c>
      <c r="C483" s="51">
        <v>414</v>
      </c>
      <c r="D483" s="145">
        <f>300000+21445.2</f>
        <v>321445.2</v>
      </c>
      <c r="E483" s="145">
        <v>0</v>
      </c>
      <c r="F483" s="145">
        <v>0</v>
      </c>
      <c r="G483" s="13"/>
      <c r="H483" s="13"/>
      <c r="I483" s="13"/>
      <c r="J483" s="13"/>
    </row>
    <row r="484" spans="1:10" s="3" customFormat="1" ht="25.5" x14ac:dyDescent="0.2">
      <c r="A484" s="52" t="s">
        <v>446</v>
      </c>
      <c r="B484" s="64" t="s">
        <v>444</v>
      </c>
      <c r="C484" s="51"/>
      <c r="D484" s="145">
        <f t="shared" ref="D484:D486" si="184">D485</f>
        <v>54058520</v>
      </c>
      <c r="E484" s="145">
        <f t="shared" ref="E484:E486" si="185">E485</f>
        <v>59480090</v>
      </c>
      <c r="F484" s="145">
        <f t="shared" ref="F484:F486" si="186">F485</f>
        <v>0</v>
      </c>
      <c r="G484" s="13"/>
      <c r="H484" s="13"/>
      <c r="I484" s="13"/>
      <c r="J484" s="13"/>
    </row>
    <row r="485" spans="1:10" s="3" customFormat="1" ht="25.5" x14ac:dyDescent="0.2">
      <c r="A485" s="52" t="s">
        <v>445</v>
      </c>
      <c r="B485" s="64" t="s">
        <v>443</v>
      </c>
      <c r="C485" s="51"/>
      <c r="D485" s="145">
        <f t="shared" si="184"/>
        <v>54058520</v>
      </c>
      <c r="E485" s="145">
        <f t="shared" si="185"/>
        <v>59480090</v>
      </c>
      <c r="F485" s="145">
        <f t="shared" si="186"/>
        <v>0</v>
      </c>
      <c r="G485" s="13"/>
      <c r="H485" s="13"/>
      <c r="I485" s="13"/>
      <c r="J485" s="13"/>
    </row>
    <row r="486" spans="1:10" s="3" customFormat="1" ht="25.5" x14ac:dyDescent="0.2">
      <c r="A486" s="52" t="s">
        <v>80</v>
      </c>
      <c r="B486" s="64" t="s">
        <v>443</v>
      </c>
      <c r="C486" s="51">
        <v>200</v>
      </c>
      <c r="D486" s="145">
        <f t="shared" si="184"/>
        <v>54058520</v>
      </c>
      <c r="E486" s="145">
        <f t="shared" si="185"/>
        <v>59480090</v>
      </c>
      <c r="F486" s="145">
        <f t="shared" si="186"/>
        <v>0</v>
      </c>
      <c r="G486" s="13"/>
      <c r="H486" s="13"/>
      <c r="I486" s="13"/>
      <c r="J486" s="13"/>
    </row>
    <row r="487" spans="1:10" s="3" customFormat="1" ht="25.5" x14ac:dyDescent="0.2">
      <c r="A487" s="52" t="s">
        <v>221</v>
      </c>
      <c r="B487" s="64" t="s">
        <v>443</v>
      </c>
      <c r="C487" s="51">
        <v>240</v>
      </c>
      <c r="D487" s="145">
        <f>D488</f>
        <v>54058520</v>
      </c>
      <c r="E487" s="145">
        <f t="shared" ref="E487:F487" si="187">E488</f>
        <v>59480090</v>
      </c>
      <c r="F487" s="145">
        <f t="shared" si="187"/>
        <v>0</v>
      </c>
      <c r="G487" s="13"/>
      <c r="H487" s="13"/>
      <c r="I487" s="13"/>
      <c r="J487" s="13"/>
    </row>
    <row r="488" spans="1:10" s="3" customFormat="1" ht="25.5" x14ac:dyDescent="0.2">
      <c r="A488" s="82" t="s">
        <v>344</v>
      </c>
      <c r="B488" s="64" t="s">
        <v>443</v>
      </c>
      <c r="C488" s="51">
        <v>243</v>
      </c>
      <c r="D488" s="145">
        <f>2483901.28+51574618.72</f>
        <v>54058520</v>
      </c>
      <c r="E488" s="145">
        <f>2289959.62+57190130.38</f>
        <v>59480090</v>
      </c>
      <c r="F488" s="145"/>
      <c r="G488" s="13"/>
      <c r="H488" s="13"/>
      <c r="I488" s="13"/>
      <c r="J488" s="13"/>
    </row>
    <row r="489" spans="1:10" s="3" customFormat="1" ht="12.75" x14ac:dyDescent="0.2">
      <c r="A489" s="13"/>
      <c r="B489" s="46"/>
      <c r="C489" s="153"/>
      <c r="D489" s="47"/>
      <c r="E489" s="47"/>
      <c r="F489" s="47"/>
      <c r="G489" s="13"/>
      <c r="H489" s="13"/>
      <c r="I489" s="13"/>
      <c r="J489" s="13"/>
    </row>
    <row r="490" spans="1:10" s="6" customFormat="1" ht="47.25" customHeight="1" x14ac:dyDescent="0.2">
      <c r="A490" s="154" t="s">
        <v>124</v>
      </c>
      <c r="B490" s="155"/>
      <c r="C490" s="156"/>
      <c r="D490" s="55">
        <f>D491+D496+D514+D533+D578+D593+D603+D615+D620+D676+D703+D717+D724+D732+D671</f>
        <v>273831419.25999999</v>
      </c>
      <c r="E490" s="55">
        <f>E491+E496+E514+E533+E578+E593+E603+E615+E620+E676+E703+E717+E724+E732+E671</f>
        <v>226633552.30238003</v>
      </c>
      <c r="F490" s="55">
        <f>F491+F496+F514+F533+F578+F593+F603+F615+F620+F676+F703+F717+F724+F732+F671</f>
        <v>217752046.65978</v>
      </c>
      <c r="G490" s="18"/>
      <c r="H490" s="18"/>
      <c r="I490" s="18"/>
      <c r="J490" s="18"/>
    </row>
    <row r="491" spans="1:10" s="5" customFormat="1" ht="46.5" customHeight="1" x14ac:dyDescent="0.2">
      <c r="A491" s="56" t="s">
        <v>126</v>
      </c>
      <c r="B491" s="57" t="s">
        <v>127</v>
      </c>
      <c r="C491" s="105"/>
      <c r="D491" s="59">
        <f t="shared" ref="D491:F492" si="188">D492</f>
        <v>3502694.59</v>
      </c>
      <c r="E491" s="59">
        <f t="shared" si="188"/>
        <v>3184291.95</v>
      </c>
      <c r="F491" s="59">
        <f t="shared" si="188"/>
        <v>3216134.87</v>
      </c>
      <c r="G491" s="15"/>
      <c r="H491" s="15"/>
      <c r="I491" s="15"/>
      <c r="J491" s="15"/>
    </row>
    <row r="492" spans="1:10" s="2" customFormat="1" ht="51" x14ac:dyDescent="0.2">
      <c r="A492" s="52" t="s">
        <v>82</v>
      </c>
      <c r="B492" s="64" t="s">
        <v>150</v>
      </c>
      <c r="C492" s="51" t="s">
        <v>99</v>
      </c>
      <c r="D492" s="50">
        <f t="shared" si="188"/>
        <v>3502694.59</v>
      </c>
      <c r="E492" s="50">
        <f t="shared" si="188"/>
        <v>3184291.95</v>
      </c>
      <c r="F492" s="50">
        <f t="shared" si="188"/>
        <v>3216134.87</v>
      </c>
      <c r="G492" s="16"/>
      <c r="H492" s="16"/>
      <c r="I492" s="16"/>
      <c r="J492" s="16"/>
    </row>
    <row r="493" spans="1:10" s="2" customFormat="1" ht="25.5" x14ac:dyDescent="0.2">
      <c r="A493" s="52" t="s">
        <v>61</v>
      </c>
      <c r="B493" s="64" t="s">
        <v>150</v>
      </c>
      <c r="C493" s="127">
        <v>120</v>
      </c>
      <c r="D493" s="50">
        <f>D494+D495</f>
        <v>3502694.59</v>
      </c>
      <c r="E493" s="50">
        <f>E494+E495</f>
        <v>3184291.95</v>
      </c>
      <c r="F493" s="50">
        <f>F494+F495</f>
        <v>3216134.87</v>
      </c>
      <c r="G493" s="16"/>
      <c r="H493" s="16"/>
      <c r="I493" s="16"/>
      <c r="J493" s="16"/>
    </row>
    <row r="494" spans="1:10" s="2" customFormat="1" ht="12.75" x14ac:dyDescent="0.2">
      <c r="A494" s="52" t="s">
        <v>151</v>
      </c>
      <c r="B494" s="64" t="s">
        <v>150</v>
      </c>
      <c r="C494" s="127">
        <v>121</v>
      </c>
      <c r="D494" s="45">
        <f>2445692.74+244548.88</f>
        <v>2690241.62</v>
      </c>
      <c r="E494" s="45">
        <v>2445692.7400000002</v>
      </c>
      <c r="F494" s="45">
        <v>2470149.67</v>
      </c>
      <c r="G494" s="16"/>
      <c r="H494" s="16"/>
      <c r="I494" s="16"/>
      <c r="J494" s="16"/>
    </row>
    <row r="495" spans="1:10" s="2" customFormat="1" ht="38.25" x14ac:dyDescent="0.2">
      <c r="A495" s="52" t="s">
        <v>6</v>
      </c>
      <c r="B495" s="64" t="s">
        <v>150</v>
      </c>
      <c r="C495" s="127">
        <v>129</v>
      </c>
      <c r="D495" s="45">
        <f>738599.21+73853.76</f>
        <v>812452.97</v>
      </c>
      <c r="E495" s="45">
        <v>738599.21</v>
      </c>
      <c r="F495" s="45">
        <v>745985.2</v>
      </c>
      <c r="G495" s="16"/>
      <c r="H495" s="16"/>
      <c r="I495" s="16"/>
      <c r="J495" s="16"/>
    </row>
    <row r="496" spans="1:10" s="5" customFormat="1" ht="46.5" customHeight="1" x14ac:dyDescent="0.2">
      <c r="A496" s="56" t="s">
        <v>128</v>
      </c>
      <c r="B496" s="57" t="s">
        <v>129</v>
      </c>
      <c r="C496" s="105"/>
      <c r="D496" s="59">
        <f>D497+D503</f>
        <v>5801523.5600000005</v>
      </c>
      <c r="E496" s="59">
        <f>E497+E503</f>
        <v>5826997.6500000004</v>
      </c>
      <c r="F496" s="59">
        <f>F497+F503</f>
        <v>5878687.2200000007</v>
      </c>
      <c r="G496" s="15"/>
      <c r="H496" s="15"/>
      <c r="I496" s="15"/>
      <c r="J496" s="15"/>
    </row>
    <row r="497" spans="1:10" s="2" customFormat="1" ht="25.5" x14ac:dyDescent="0.2">
      <c r="A497" s="52" t="s">
        <v>152</v>
      </c>
      <c r="B497" s="67" t="s">
        <v>153</v>
      </c>
      <c r="C497" s="147"/>
      <c r="D497" s="132">
        <f>D498</f>
        <v>2547408.88</v>
      </c>
      <c r="E497" s="132">
        <f>E498</f>
        <v>2572882.9700000002</v>
      </c>
      <c r="F497" s="132">
        <f>F498</f>
        <v>2598611.7999999998</v>
      </c>
      <c r="G497" s="16"/>
      <c r="H497" s="16"/>
      <c r="I497" s="16"/>
      <c r="J497" s="16"/>
    </row>
    <row r="498" spans="1:10" s="2" customFormat="1" ht="25.5" x14ac:dyDescent="0.2">
      <c r="A498" s="42" t="s">
        <v>60</v>
      </c>
      <c r="B498" s="64" t="s">
        <v>154</v>
      </c>
      <c r="C498" s="147"/>
      <c r="D498" s="45">
        <f>D500</f>
        <v>2547408.88</v>
      </c>
      <c r="E498" s="45">
        <f>E500</f>
        <v>2572882.9700000002</v>
      </c>
      <c r="F498" s="45">
        <f>F500</f>
        <v>2598611.7999999998</v>
      </c>
      <c r="G498" s="16"/>
      <c r="H498" s="16"/>
      <c r="I498" s="16"/>
      <c r="J498" s="16"/>
    </row>
    <row r="499" spans="1:10" s="2" customFormat="1" ht="51" customHeight="1" x14ac:dyDescent="0.2">
      <c r="A499" s="84" t="s">
        <v>82</v>
      </c>
      <c r="B499" s="64" t="s">
        <v>154</v>
      </c>
      <c r="C499" s="44">
        <v>100</v>
      </c>
      <c r="D499" s="45">
        <f>D500</f>
        <v>2547408.88</v>
      </c>
      <c r="E499" s="45">
        <f>E500</f>
        <v>2572882.9700000002</v>
      </c>
      <c r="F499" s="45">
        <f>F500</f>
        <v>2598611.7999999998</v>
      </c>
      <c r="G499" s="16"/>
      <c r="H499" s="16"/>
      <c r="I499" s="16"/>
      <c r="J499" s="16"/>
    </row>
    <row r="500" spans="1:10" s="2" customFormat="1" ht="25.5" x14ac:dyDescent="0.2">
      <c r="A500" s="42" t="s">
        <v>61</v>
      </c>
      <c r="B500" s="64" t="s">
        <v>154</v>
      </c>
      <c r="C500" s="44">
        <v>120</v>
      </c>
      <c r="D500" s="45">
        <f>D501+D502</f>
        <v>2547408.88</v>
      </c>
      <c r="E500" s="45">
        <f>E501+E502</f>
        <v>2572882.9700000002</v>
      </c>
      <c r="F500" s="45">
        <f>F501+F502</f>
        <v>2598611.7999999998</v>
      </c>
      <c r="G500" s="16"/>
      <c r="H500" s="16"/>
      <c r="I500" s="16"/>
      <c r="J500" s="16"/>
    </row>
    <row r="501" spans="1:10" s="2" customFormat="1" ht="12.75" x14ac:dyDescent="0.2">
      <c r="A501" s="42" t="s">
        <v>151</v>
      </c>
      <c r="B501" s="64" t="s">
        <v>154</v>
      </c>
      <c r="C501" s="44">
        <v>121</v>
      </c>
      <c r="D501" s="45">
        <v>1956535.24</v>
      </c>
      <c r="E501" s="45">
        <v>1976100.59</v>
      </c>
      <c r="F501" s="45">
        <v>1995861.6</v>
      </c>
      <c r="G501" s="16"/>
      <c r="H501" s="16"/>
      <c r="I501" s="16"/>
      <c r="J501" s="16"/>
    </row>
    <row r="502" spans="1:10" s="2" customFormat="1" ht="38.25" x14ac:dyDescent="0.2">
      <c r="A502" s="42" t="s">
        <v>6</v>
      </c>
      <c r="B502" s="64" t="s">
        <v>154</v>
      </c>
      <c r="C502" s="44">
        <v>129</v>
      </c>
      <c r="D502" s="45">
        <v>590873.64</v>
      </c>
      <c r="E502" s="45">
        <v>596782.38</v>
      </c>
      <c r="F502" s="45">
        <v>602750.19999999995</v>
      </c>
      <c r="G502" s="16"/>
      <c r="H502" s="16"/>
      <c r="I502" s="16"/>
      <c r="J502" s="16"/>
    </row>
    <row r="503" spans="1:10" s="2" customFormat="1" ht="25.5" x14ac:dyDescent="0.2">
      <c r="A503" s="52" t="s">
        <v>155</v>
      </c>
      <c r="B503" s="64" t="s">
        <v>156</v>
      </c>
      <c r="C503" s="51"/>
      <c r="D503" s="50">
        <f>D504</f>
        <v>3254114.68</v>
      </c>
      <c r="E503" s="50">
        <f>E504</f>
        <v>3254114.68</v>
      </c>
      <c r="F503" s="50">
        <f>F504</f>
        <v>3280075.4200000004</v>
      </c>
      <c r="G503" s="16"/>
      <c r="H503" s="16"/>
      <c r="I503" s="16"/>
      <c r="J503" s="16"/>
    </row>
    <row r="504" spans="1:10" s="2" customFormat="1" ht="25.5" x14ac:dyDescent="0.2">
      <c r="A504" s="42" t="s">
        <v>60</v>
      </c>
      <c r="B504" s="64" t="s">
        <v>157</v>
      </c>
      <c r="C504" s="147"/>
      <c r="D504" s="45">
        <f>D506+D512</f>
        <v>3254114.68</v>
      </c>
      <c r="E504" s="45">
        <f>E506+E512</f>
        <v>3254114.68</v>
      </c>
      <c r="F504" s="45">
        <f>F506+F512</f>
        <v>3280075.4200000004</v>
      </c>
      <c r="G504" s="16"/>
      <c r="H504" s="16"/>
      <c r="I504" s="16"/>
      <c r="J504" s="16"/>
    </row>
    <row r="505" spans="1:10" s="2" customFormat="1" ht="51" x14ac:dyDescent="0.2">
      <c r="A505" s="84" t="s">
        <v>82</v>
      </c>
      <c r="B505" s="64" t="s">
        <v>157</v>
      </c>
      <c r="C505" s="44">
        <v>100</v>
      </c>
      <c r="D505" s="45">
        <f>D506</f>
        <v>2796914</v>
      </c>
      <c r="E505" s="45">
        <f>E506</f>
        <v>2796914</v>
      </c>
      <c r="F505" s="45">
        <f>F506</f>
        <v>2822874.74</v>
      </c>
      <c r="G505" s="16"/>
      <c r="H505" s="16"/>
      <c r="I505" s="16"/>
      <c r="J505" s="16"/>
    </row>
    <row r="506" spans="1:10" s="2" customFormat="1" ht="25.5" x14ac:dyDescent="0.2">
      <c r="A506" s="42" t="s">
        <v>61</v>
      </c>
      <c r="B506" s="64" t="s">
        <v>157</v>
      </c>
      <c r="C506" s="44">
        <v>120</v>
      </c>
      <c r="D506" s="45">
        <f>D507+D508+D510+D509</f>
        <v>2796914</v>
      </c>
      <c r="E506" s="45">
        <f>E507+E508+E510+E509</f>
        <v>2796914</v>
      </c>
      <c r="F506" s="45">
        <f>F507+F508+F510+F509</f>
        <v>2822874.74</v>
      </c>
      <c r="G506" s="16"/>
      <c r="H506" s="16"/>
      <c r="I506" s="16"/>
      <c r="J506" s="16"/>
    </row>
    <row r="507" spans="1:10" s="2" customFormat="1" ht="26.25" customHeight="1" x14ac:dyDescent="0.2">
      <c r="A507" s="42" t="s">
        <v>7</v>
      </c>
      <c r="B507" s="64" t="s">
        <v>157</v>
      </c>
      <c r="C507" s="44">
        <v>121</v>
      </c>
      <c r="D507" s="45">
        <v>1993912.44</v>
      </c>
      <c r="E507" s="45">
        <v>1993912.44</v>
      </c>
      <c r="F507" s="45">
        <v>2013851.56</v>
      </c>
      <c r="G507" s="16"/>
      <c r="H507" s="16"/>
      <c r="I507" s="16"/>
      <c r="J507" s="16"/>
    </row>
    <row r="508" spans="1:10" s="2" customFormat="1" ht="25.5" x14ac:dyDescent="0.2">
      <c r="A508" s="42" t="s">
        <v>158</v>
      </c>
      <c r="B508" s="64" t="s">
        <v>157</v>
      </c>
      <c r="C508" s="44">
        <v>122</v>
      </c>
      <c r="D508" s="45">
        <v>100840</v>
      </c>
      <c r="E508" s="45">
        <v>100840</v>
      </c>
      <c r="F508" s="45">
        <v>100840</v>
      </c>
      <c r="G508" s="16"/>
      <c r="H508" s="16"/>
      <c r="I508" s="16"/>
      <c r="J508" s="16"/>
    </row>
    <row r="509" spans="1:10" s="2" customFormat="1" ht="51" x14ac:dyDescent="0.2">
      <c r="A509" s="52" t="s">
        <v>301</v>
      </c>
      <c r="B509" s="64" t="s">
        <v>157</v>
      </c>
      <c r="C509" s="44">
        <v>123</v>
      </c>
      <c r="D509" s="45">
        <v>100000</v>
      </c>
      <c r="E509" s="45">
        <v>100000</v>
      </c>
      <c r="F509" s="45">
        <v>100000</v>
      </c>
      <c r="G509" s="16"/>
      <c r="H509" s="16"/>
      <c r="I509" s="16"/>
      <c r="J509" s="16"/>
    </row>
    <row r="510" spans="1:10" s="2" customFormat="1" ht="38.25" x14ac:dyDescent="0.2">
      <c r="A510" s="42" t="s">
        <v>6</v>
      </c>
      <c r="B510" s="64" t="s">
        <v>157</v>
      </c>
      <c r="C510" s="44">
        <v>129</v>
      </c>
      <c r="D510" s="45">
        <v>602161.56000000006</v>
      </c>
      <c r="E510" s="45">
        <v>602161.56000000006</v>
      </c>
      <c r="F510" s="45">
        <v>608183.18000000005</v>
      </c>
      <c r="G510" s="16"/>
      <c r="H510" s="16"/>
      <c r="I510" s="16"/>
      <c r="J510" s="16"/>
    </row>
    <row r="511" spans="1:10" s="2" customFormat="1" ht="25.5" x14ac:dyDescent="0.2">
      <c r="A511" s="42" t="s">
        <v>80</v>
      </c>
      <c r="B511" s="64" t="s">
        <v>157</v>
      </c>
      <c r="C511" s="44">
        <v>200</v>
      </c>
      <c r="D511" s="45">
        <f t="shared" ref="D511:F512" si="189">D512</f>
        <v>457200.68</v>
      </c>
      <c r="E511" s="45">
        <f t="shared" si="189"/>
        <v>457200.68</v>
      </c>
      <c r="F511" s="45">
        <f t="shared" si="189"/>
        <v>457200.68</v>
      </c>
      <c r="G511" s="16"/>
      <c r="H511" s="16"/>
      <c r="I511" s="16"/>
      <c r="J511" s="16"/>
    </row>
    <row r="512" spans="1:10" s="2" customFormat="1" ht="25.5" x14ac:dyDescent="0.2">
      <c r="A512" s="42" t="s">
        <v>62</v>
      </c>
      <c r="B512" s="64" t="s">
        <v>157</v>
      </c>
      <c r="C512" s="44">
        <v>240</v>
      </c>
      <c r="D512" s="45">
        <f t="shared" si="189"/>
        <v>457200.68</v>
      </c>
      <c r="E512" s="45">
        <f t="shared" si="189"/>
        <v>457200.68</v>
      </c>
      <c r="F512" s="45">
        <f t="shared" si="189"/>
        <v>457200.68</v>
      </c>
      <c r="G512" s="16"/>
      <c r="H512" s="16"/>
      <c r="I512" s="16"/>
      <c r="J512" s="16"/>
    </row>
    <row r="513" spans="1:10" s="2" customFormat="1" ht="12.75" x14ac:dyDescent="0.2">
      <c r="A513" s="42" t="s">
        <v>21</v>
      </c>
      <c r="B513" s="64" t="s">
        <v>157</v>
      </c>
      <c r="C513" s="44">
        <v>244</v>
      </c>
      <c r="D513" s="45">
        <v>457200.68</v>
      </c>
      <c r="E513" s="45">
        <v>457200.68</v>
      </c>
      <c r="F513" s="45">
        <v>457200.68</v>
      </c>
      <c r="G513" s="16"/>
      <c r="H513" s="16"/>
      <c r="I513" s="16"/>
      <c r="J513" s="16"/>
    </row>
    <row r="514" spans="1:10" s="5" customFormat="1" ht="35.25" customHeight="1" x14ac:dyDescent="0.2">
      <c r="A514" s="56" t="s">
        <v>130</v>
      </c>
      <c r="B514" s="57" t="s">
        <v>131</v>
      </c>
      <c r="C514" s="105"/>
      <c r="D514" s="59">
        <f>D515+D521</f>
        <v>2125555.27</v>
      </c>
      <c r="E514" s="59">
        <f>E515+E521</f>
        <v>2153879.27</v>
      </c>
      <c r="F514" s="59">
        <f>F515+F521</f>
        <v>2206896.0099999998</v>
      </c>
      <c r="G514" s="15"/>
      <c r="H514" s="15"/>
      <c r="I514" s="15"/>
      <c r="J514" s="15"/>
    </row>
    <row r="515" spans="1:10" s="2" customFormat="1" ht="25.5" x14ac:dyDescent="0.2">
      <c r="A515" s="52" t="s">
        <v>163</v>
      </c>
      <c r="B515" s="64" t="s">
        <v>164</v>
      </c>
      <c r="C515" s="51"/>
      <c r="D515" s="50">
        <f>D516</f>
        <v>1165446.47</v>
      </c>
      <c r="E515" s="50">
        <f>E516</f>
        <v>1165446.47</v>
      </c>
      <c r="F515" s="50">
        <f>F516</f>
        <v>1177100.93</v>
      </c>
      <c r="G515" s="16"/>
      <c r="H515" s="16"/>
      <c r="I515" s="16"/>
      <c r="J515" s="16"/>
    </row>
    <row r="516" spans="1:10" s="2" customFormat="1" ht="25.5" x14ac:dyDescent="0.2">
      <c r="A516" s="42" t="s">
        <v>60</v>
      </c>
      <c r="B516" s="64" t="s">
        <v>165</v>
      </c>
      <c r="C516" s="147"/>
      <c r="D516" s="45">
        <f>D518</f>
        <v>1165446.47</v>
      </c>
      <c r="E516" s="45">
        <f>E518</f>
        <v>1165446.47</v>
      </c>
      <c r="F516" s="45">
        <f>F518</f>
        <v>1177100.93</v>
      </c>
      <c r="G516" s="16"/>
      <c r="H516" s="16"/>
      <c r="I516" s="16"/>
      <c r="J516" s="16"/>
    </row>
    <row r="517" spans="1:10" s="2" customFormat="1" ht="54" customHeight="1" x14ac:dyDescent="0.2">
      <c r="A517" s="84" t="s">
        <v>82</v>
      </c>
      <c r="B517" s="64" t="s">
        <v>165</v>
      </c>
      <c r="C517" s="44">
        <v>100</v>
      </c>
      <c r="D517" s="45">
        <f>D518</f>
        <v>1165446.47</v>
      </c>
      <c r="E517" s="45">
        <f>E518</f>
        <v>1165446.47</v>
      </c>
      <c r="F517" s="45">
        <f>F518</f>
        <v>1177100.93</v>
      </c>
      <c r="G517" s="16"/>
      <c r="H517" s="16"/>
      <c r="I517" s="16"/>
      <c r="J517" s="16"/>
    </row>
    <row r="518" spans="1:10" s="2" customFormat="1" ht="25.5" x14ac:dyDescent="0.2">
      <c r="A518" s="42" t="s">
        <v>61</v>
      </c>
      <c r="B518" s="64" t="s">
        <v>165</v>
      </c>
      <c r="C518" s="44">
        <v>120</v>
      </c>
      <c r="D518" s="45">
        <f>D519+D520</f>
        <v>1165446.47</v>
      </c>
      <c r="E518" s="45">
        <f>E519+E520</f>
        <v>1165446.47</v>
      </c>
      <c r="F518" s="45">
        <f>F519+F520</f>
        <v>1177100.93</v>
      </c>
      <c r="G518" s="16"/>
      <c r="H518" s="16"/>
      <c r="I518" s="16"/>
      <c r="J518" s="16"/>
    </row>
    <row r="519" spans="1:10" s="2" customFormat="1" ht="19.5" customHeight="1" x14ac:dyDescent="0.2">
      <c r="A519" s="42" t="s">
        <v>7</v>
      </c>
      <c r="B519" s="64" t="s">
        <v>165</v>
      </c>
      <c r="C519" s="44">
        <v>121</v>
      </c>
      <c r="D519" s="45">
        <v>895120.18</v>
      </c>
      <c r="E519" s="45">
        <v>895120.18</v>
      </c>
      <c r="F519" s="45">
        <v>904071.38</v>
      </c>
      <c r="G519" s="16"/>
      <c r="H519" s="16"/>
      <c r="I519" s="16"/>
      <c r="J519" s="16"/>
    </row>
    <row r="520" spans="1:10" s="2" customFormat="1" ht="38.25" x14ac:dyDescent="0.2">
      <c r="A520" s="42" t="s">
        <v>6</v>
      </c>
      <c r="B520" s="64" t="s">
        <v>165</v>
      </c>
      <c r="C520" s="44">
        <v>129</v>
      </c>
      <c r="D520" s="45">
        <v>270326.28999999998</v>
      </c>
      <c r="E520" s="45">
        <v>270326.28999999998</v>
      </c>
      <c r="F520" s="45">
        <v>273029.55</v>
      </c>
      <c r="G520" s="16"/>
      <c r="H520" s="16"/>
      <c r="I520" s="16"/>
      <c r="J520" s="16"/>
    </row>
    <row r="521" spans="1:10" s="2" customFormat="1" ht="25.5" x14ac:dyDescent="0.2">
      <c r="A521" s="52" t="s">
        <v>160</v>
      </c>
      <c r="B521" s="64" t="s">
        <v>161</v>
      </c>
      <c r="C521" s="51"/>
      <c r="D521" s="50">
        <f>D522</f>
        <v>960108.79999999993</v>
      </c>
      <c r="E521" s="50">
        <f>E522</f>
        <v>988432.79999999993</v>
      </c>
      <c r="F521" s="50">
        <f>F522</f>
        <v>1029795.08</v>
      </c>
      <c r="G521" s="16"/>
      <c r="H521" s="16"/>
      <c r="I521" s="16"/>
      <c r="J521" s="16"/>
    </row>
    <row r="522" spans="1:10" s="2" customFormat="1" ht="25.5" x14ac:dyDescent="0.2">
      <c r="A522" s="42" t="s">
        <v>60</v>
      </c>
      <c r="B522" s="64" t="s">
        <v>162</v>
      </c>
      <c r="C522" s="147"/>
      <c r="D522" s="45">
        <f>D524+D529+D531</f>
        <v>960108.79999999993</v>
      </c>
      <c r="E522" s="45">
        <f t="shared" ref="E522:F522" si="190">E524+E529+E531</f>
        <v>988432.79999999993</v>
      </c>
      <c r="F522" s="45">
        <f t="shared" si="190"/>
        <v>1029795.08</v>
      </c>
      <c r="G522" s="16"/>
      <c r="H522" s="16"/>
      <c r="I522" s="16"/>
      <c r="J522" s="16"/>
    </row>
    <row r="523" spans="1:10" s="2" customFormat="1" ht="58.5" customHeight="1" x14ac:dyDescent="0.2">
      <c r="A523" s="84" t="s">
        <v>82</v>
      </c>
      <c r="B523" s="64" t="s">
        <v>162</v>
      </c>
      <c r="C523" s="44">
        <v>100</v>
      </c>
      <c r="D523" s="45">
        <f>D524</f>
        <v>906908.79999999993</v>
      </c>
      <c r="E523" s="45">
        <f>E524</f>
        <v>922228.79999999993</v>
      </c>
      <c r="F523" s="45">
        <f>F524</f>
        <v>930937.08</v>
      </c>
      <c r="G523" s="16"/>
      <c r="H523" s="16"/>
      <c r="I523" s="16"/>
      <c r="J523" s="16"/>
    </row>
    <row r="524" spans="1:10" s="2" customFormat="1" ht="25.5" x14ac:dyDescent="0.2">
      <c r="A524" s="42" t="s">
        <v>61</v>
      </c>
      <c r="B524" s="64" t="s">
        <v>162</v>
      </c>
      <c r="C524" s="44">
        <v>120</v>
      </c>
      <c r="D524" s="45">
        <f>D525+D526+D527</f>
        <v>906908.79999999993</v>
      </c>
      <c r="E524" s="45">
        <f>E525+E526+E527</f>
        <v>922228.79999999993</v>
      </c>
      <c r="F524" s="45">
        <f>F525+F526+F527</f>
        <v>930937.08</v>
      </c>
      <c r="G524" s="16"/>
      <c r="H524" s="16"/>
      <c r="I524" s="16"/>
      <c r="J524" s="16"/>
    </row>
    <row r="525" spans="1:10" s="2" customFormat="1" ht="12.75" x14ac:dyDescent="0.2">
      <c r="A525" s="42" t="s">
        <v>7</v>
      </c>
      <c r="B525" s="64" t="s">
        <v>162</v>
      </c>
      <c r="C525" s="44">
        <v>121</v>
      </c>
      <c r="D525" s="45">
        <v>668839.31999999995</v>
      </c>
      <c r="E525" s="45">
        <v>668839.31999999995</v>
      </c>
      <c r="F525" s="45">
        <v>675527.71</v>
      </c>
      <c r="G525" s="16"/>
      <c r="H525" s="16"/>
      <c r="I525" s="16"/>
      <c r="J525" s="16"/>
    </row>
    <row r="526" spans="1:10" s="2" customFormat="1" ht="25.5" x14ac:dyDescent="0.2">
      <c r="A526" s="42" t="s">
        <v>158</v>
      </c>
      <c r="B526" s="64" t="s">
        <v>162</v>
      </c>
      <c r="C526" s="44">
        <v>122</v>
      </c>
      <c r="D526" s="45">
        <v>36080</v>
      </c>
      <c r="E526" s="45">
        <v>51400</v>
      </c>
      <c r="F526" s="45">
        <v>51400</v>
      </c>
      <c r="G526" s="16"/>
      <c r="H526" s="16"/>
      <c r="I526" s="16"/>
      <c r="J526" s="16"/>
    </row>
    <row r="527" spans="1:10" s="2" customFormat="1" ht="38.25" x14ac:dyDescent="0.2">
      <c r="A527" s="42" t="s">
        <v>6</v>
      </c>
      <c r="B527" s="64" t="s">
        <v>162</v>
      </c>
      <c r="C527" s="44">
        <v>129</v>
      </c>
      <c r="D527" s="45">
        <v>201989.48</v>
      </c>
      <c r="E527" s="45">
        <v>201989.48</v>
      </c>
      <c r="F527" s="45">
        <v>204009.37</v>
      </c>
      <c r="G527" s="16"/>
      <c r="H527" s="16"/>
      <c r="I527" s="16"/>
      <c r="J527" s="16"/>
    </row>
    <row r="528" spans="1:10" s="2" customFormat="1" ht="25.5" x14ac:dyDescent="0.2">
      <c r="A528" s="42" t="s">
        <v>80</v>
      </c>
      <c r="B528" s="64" t="s">
        <v>162</v>
      </c>
      <c r="C528" s="44">
        <v>200</v>
      </c>
      <c r="D528" s="45">
        <f t="shared" ref="D528:F531" si="191">D529</f>
        <v>50200</v>
      </c>
      <c r="E528" s="45">
        <f t="shared" si="191"/>
        <v>63204</v>
      </c>
      <c r="F528" s="45">
        <f t="shared" si="191"/>
        <v>95858</v>
      </c>
      <c r="G528" s="16"/>
      <c r="H528" s="16"/>
      <c r="I528" s="16"/>
      <c r="J528" s="16"/>
    </row>
    <row r="529" spans="1:10" s="2" customFormat="1" ht="25.5" x14ac:dyDescent="0.2">
      <c r="A529" s="42" t="s">
        <v>62</v>
      </c>
      <c r="B529" s="64" t="s">
        <v>162</v>
      </c>
      <c r="C529" s="44">
        <v>240</v>
      </c>
      <c r="D529" s="45">
        <f t="shared" si="191"/>
        <v>50200</v>
      </c>
      <c r="E529" s="45">
        <f t="shared" si="191"/>
        <v>63204</v>
      </c>
      <c r="F529" s="45">
        <f t="shared" si="191"/>
        <v>95858</v>
      </c>
      <c r="G529" s="16"/>
      <c r="H529" s="16"/>
      <c r="I529" s="16"/>
      <c r="J529" s="16"/>
    </row>
    <row r="530" spans="1:10" s="2" customFormat="1" ht="12.75" x14ac:dyDescent="0.2">
      <c r="A530" s="42" t="s">
        <v>21</v>
      </c>
      <c r="B530" s="64" t="s">
        <v>162</v>
      </c>
      <c r="C530" s="44">
        <v>244</v>
      </c>
      <c r="D530" s="45">
        <v>50200</v>
      </c>
      <c r="E530" s="45">
        <v>63204</v>
      </c>
      <c r="F530" s="45">
        <v>95858</v>
      </c>
      <c r="G530" s="16"/>
      <c r="H530" s="16"/>
      <c r="I530" s="16"/>
      <c r="J530" s="16"/>
    </row>
    <row r="531" spans="1:10" s="2" customFormat="1" ht="12.75" x14ac:dyDescent="0.2">
      <c r="A531" s="42" t="s">
        <v>83</v>
      </c>
      <c r="B531" s="64" t="s">
        <v>162</v>
      </c>
      <c r="C531" s="102">
        <v>800</v>
      </c>
      <c r="D531" s="45">
        <f t="shared" si="191"/>
        <v>3000</v>
      </c>
      <c r="E531" s="45">
        <f t="shared" si="191"/>
        <v>3000</v>
      </c>
      <c r="F531" s="45">
        <f t="shared" si="191"/>
        <v>3000</v>
      </c>
      <c r="G531" s="16"/>
      <c r="H531" s="16"/>
      <c r="I531" s="16"/>
      <c r="J531" s="16"/>
    </row>
    <row r="532" spans="1:10" s="2" customFormat="1" ht="12.75" x14ac:dyDescent="0.2">
      <c r="A532" s="42" t="s">
        <v>159</v>
      </c>
      <c r="B532" s="64" t="s">
        <v>162</v>
      </c>
      <c r="C532" s="102">
        <v>850</v>
      </c>
      <c r="D532" s="45">
        <v>3000</v>
      </c>
      <c r="E532" s="45">
        <v>3000</v>
      </c>
      <c r="F532" s="45">
        <v>3000</v>
      </c>
      <c r="G532" s="16"/>
      <c r="H532" s="16"/>
      <c r="I532" s="16"/>
      <c r="J532" s="16"/>
    </row>
    <row r="533" spans="1:10" s="5" customFormat="1" ht="46.5" customHeight="1" x14ac:dyDescent="0.2">
      <c r="A533" s="56" t="s">
        <v>132</v>
      </c>
      <c r="B533" s="57" t="s">
        <v>133</v>
      </c>
      <c r="C533" s="105"/>
      <c r="D533" s="59">
        <f>D534</f>
        <v>135589413.09999999</v>
      </c>
      <c r="E533" s="59">
        <f>E534</f>
        <v>134050457.87238</v>
      </c>
      <c r="F533" s="59">
        <f>F534</f>
        <v>135170419.39978004</v>
      </c>
      <c r="G533" s="15"/>
      <c r="H533" s="15"/>
      <c r="I533" s="15"/>
      <c r="J533" s="15"/>
    </row>
    <row r="534" spans="1:10" s="2" customFormat="1" ht="31.5" customHeight="1" x14ac:dyDescent="0.2">
      <c r="A534" s="52" t="s">
        <v>166</v>
      </c>
      <c r="B534" s="64" t="s">
        <v>167</v>
      </c>
      <c r="C534" s="51"/>
      <c r="D534" s="50">
        <f>D562+D543+D535+D539</f>
        <v>135589413.09999999</v>
      </c>
      <c r="E534" s="50">
        <f t="shared" ref="E534:F534" si="192">E562+E543+E535+E539</f>
        <v>134050457.87238</v>
      </c>
      <c r="F534" s="50">
        <f t="shared" si="192"/>
        <v>135170419.39978004</v>
      </c>
      <c r="G534" s="16"/>
      <c r="H534" s="16"/>
      <c r="I534" s="16"/>
      <c r="J534" s="16"/>
    </row>
    <row r="535" spans="1:10" s="2" customFormat="1" ht="38.25" x14ac:dyDescent="0.2">
      <c r="A535" s="42" t="s">
        <v>280</v>
      </c>
      <c r="B535" s="64" t="s">
        <v>364</v>
      </c>
      <c r="C535" s="44"/>
      <c r="D535" s="45">
        <f>D537</f>
        <v>6104.51</v>
      </c>
      <c r="E535" s="45">
        <f>E537</f>
        <v>194414.92</v>
      </c>
      <c r="F535" s="45">
        <f>F537</f>
        <v>6044.77</v>
      </c>
      <c r="G535" s="16"/>
      <c r="H535" s="16"/>
      <c r="I535" s="16"/>
      <c r="J535" s="16"/>
    </row>
    <row r="536" spans="1:10" s="2" customFormat="1" ht="25.5" x14ac:dyDescent="0.2">
      <c r="A536" s="42" t="s">
        <v>80</v>
      </c>
      <c r="B536" s="64" t="s">
        <v>364</v>
      </c>
      <c r="C536" s="44">
        <v>200</v>
      </c>
      <c r="D536" s="45">
        <f t="shared" ref="D536:F537" si="193">D537</f>
        <v>6104.51</v>
      </c>
      <c r="E536" s="45">
        <f t="shared" si="193"/>
        <v>194414.92</v>
      </c>
      <c r="F536" s="45">
        <f t="shared" si="193"/>
        <v>6044.77</v>
      </c>
      <c r="G536" s="16"/>
      <c r="H536" s="16"/>
      <c r="I536" s="16"/>
      <c r="J536" s="16"/>
    </row>
    <row r="537" spans="1:10" s="2" customFormat="1" ht="25.5" x14ac:dyDescent="0.2">
      <c r="A537" s="42" t="s">
        <v>62</v>
      </c>
      <c r="B537" s="64" t="s">
        <v>364</v>
      </c>
      <c r="C537" s="44">
        <v>240</v>
      </c>
      <c r="D537" s="45">
        <f t="shared" si="193"/>
        <v>6104.51</v>
      </c>
      <c r="E537" s="45">
        <f t="shared" si="193"/>
        <v>194414.92</v>
      </c>
      <c r="F537" s="45">
        <f t="shared" si="193"/>
        <v>6044.77</v>
      </c>
      <c r="G537" s="16"/>
      <c r="H537" s="16"/>
      <c r="I537" s="16"/>
      <c r="J537" s="16"/>
    </row>
    <row r="538" spans="1:10" s="2" customFormat="1" ht="12.75" x14ac:dyDescent="0.2">
      <c r="A538" s="42" t="s">
        <v>96</v>
      </c>
      <c r="B538" s="64" t="s">
        <v>364</v>
      </c>
      <c r="C538" s="44">
        <v>244</v>
      </c>
      <c r="D538" s="45">
        <v>6104.51</v>
      </c>
      <c r="E538" s="45">
        <v>194414.92</v>
      </c>
      <c r="F538" s="45">
        <v>6044.77</v>
      </c>
      <c r="G538" s="16"/>
      <c r="H538" s="16"/>
      <c r="I538" s="16"/>
      <c r="J538" s="16"/>
    </row>
    <row r="539" spans="1:10" s="2" customFormat="1" ht="51" x14ac:dyDescent="0.2">
      <c r="A539" s="42" t="s">
        <v>369</v>
      </c>
      <c r="B539" s="67" t="s">
        <v>370</v>
      </c>
      <c r="C539" s="147"/>
      <c r="D539" s="132">
        <f>D540</f>
        <v>28000</v>
      </c>
      <c r="E539" s="132">
        <f t="shared" ref="E539:F541" si="194">E540</f>
        <v>28000</v>
      </c>
      <c r="F539" s="132">
        <f t="shared" si="194"/>
        <v>28000</v>
      </c>
      <c r="G539" s="16"/>
      <c r="H539" s="16"/>
      <c r="I539" s="16"/>
      <c r="J539" s="16"/>
    </row>
    <row r="540" spans="1:10" s="2" customFormat="1" ht="25.5" x14ac:dyDescent="0.2">
      <c r="A540" s="42" t="s">
        <v>80</v>
      </c>
      <c r="B540" s="67" t="s">
        <v>370</v>
      </c>
      <c r="C540" s="147" t="s">
        <v>103</v>
      </c>
      <c r="D540" s="132">
        <f>D541</f>
        <v>28000</v>
      </c>
      <c r="E540" s="132">
        <f t="shared" si="194"/>
        <v>28000</v>
      </c>
      <c r="F540" s="132">
        <f t="shared" si="194"/>
        <v>28000</v>
      </c>
      <c r="G540" s="16"/>
      <c r="H540" s="16"/>
      <c r="I540" s="16"/>
      <c r="J540" s="16"/>
    </row>
    <row r="541" spans="1:10" s="2" customFormat="1" ht="25.5" x14ac:dyDescent="0.2">
      <c r="A541" s="42" t="s">
        <v>62</v>
      </c>
      <c r="B541" s="67" t="s">
        <v>370</v>
      </c>
      <c r="C541" s="147" t="s">
        <v>104</v>
      </c>
      <c r="D541" s="132">
        <f>D542</f>
        <v>28000</v>
      </c>
      <c r="E541" s="132">
        <f t="shared" si="194"/>
        <v>28000</v>
      </c>
      <c r="F541" s="132">
        <f t="shared" si="194"/>
        <v>28000</v>
      </c>
      <c r="G541" s="16"/>
      <c r="H541" s="16"/>
      <c r="I541" s="16"/>
      <c r="J541" s="16"/>
    </row>
    <row r="542" spans="1:10" s="2" customFormat="1" ht="12.75" x14ac:dyDescent="0.2">
      <c r="A542" s="84" t="s">
        <v>21</v>
      </c>
      <c r="B542" s="67" t="s">
        <v>370</v>
      </c>
      <c r="C542" s="147" t="s">
        <v>65</v>
      </c>
      <c r="D542" s="132">
        <v>28000</v>
      </c>
      <c r="E542" s="132">
        <v>28000</v>
      </c>
      <c r="F542" s="132">
        <v>28000</v>
      </c>
      <c r="G542" s="16"/>
      <c r="H542" s="16"/>
      <c r="I542" s="16"/>
      <c r="J542" s="16"/>
    </row>
    <row r="543" spans="1:10" s="2" customFormat="1" ht="12.75" x14ac:dyDescent="0.2">
      <c r="A543" s="97" t="s">
        <v>361</v>
      </c>
      <c r="B543" s="64" t="s">
        <v>336</v>
      </c>
      <c r="C543" s="147"/>
      <c r="D543" s="132">
        <f>D544+D553</f>
        <v>2836611.31</v>
      </c>
      <c r="E543" s="132">
        <f>E544+E553</f>
        <v>2935075.7623799997</v>
      </c>
      <c r="F543" s="132">
        <f>F544+F553</f>
        <v>3037488.54978</v>
      </c>
      <c r="G543" s="16"/>
      <c r="H543" s="16"/>
      <c r="I543" s="16"/>
      <c r="J543" s="16"/>
    </row>
    <row r="544" spans="1:10" s="2" customFormat="1" ht="63.75" x14ac:dyDescent="0.2">
      <c r="A544" s="42" t="s">
        <v>363</v>
      </c>
      <c r="B544" s="67" t="s">
        <v>337</v>
      </c>
      <c r="C544" s="44"/>
      <c r="D544" s="132">
        <f>D546+D550</f>
        <v>1821074.21</v>
      </c>
      <c r="E544" s="132">
        <f>E546+E550</f>
        <v>1886717.1823799999</v>
      </c>
      <c r="F544" s="132">
        <f>F546+F550</f>
        <v>1954992.3697799998</v>
      </c>
      <c r="G544" s="16"/>
      <c r="H544" s="16"/>
      <c r="I544" s="16"/>
      <c r="J544" s="16"/>
    </row>
    <row r="545" spans="1:10" s="2" customFormat="1" ht="51" x14ac:dyDescent="0.2">
      <c r="A545" s="42" t="s">
        <v>82</v>
      </c>
      <c r="B545" s="67" t="s">
        <v>337</v>
      </c>
      <c r="C545" s="44">
        <v>100</v>
      </c>
      <c r="D545" s="45">
        <f>D546</f>
        <v>1681074.21</v>
      </c>
      <c r="E545" s="45">
        <f>E546</f>
        <v>1746717.1823799999</v>
      </c>
      <c r="F545" s="45">
        <f>F546</f>
        <v>1814992.3697799998</v>
      </c>
      <c r="G545" s="16"/>
      <c r="H545" s="16"/>
      <c r="I545" s="16"/>
      <c r="J545" s="16"/>
    </row>
    <row r="546" spans="1:10" s="2" customFormat="1" ht="25.5" x14ac:dyDescent="0.2">
      <c r="A546" s="42" t="s">
        <v>61</v>
      </c>
      <c r="B546" s="67" t="s">
        <v>337</v>
      </c>
      <c r="C546" s="44">
        <v>120</v>
      </c>
      <c r="D546" s="45">
        <f>D547+D549+D548</f>
        <v>1681074.21</v>
      </c>
      <c r="E546" s="45">
        <f>E547+E549+E548</f>
        <v>1746717.1823799999</v>
      </c>
      <c r="F546" s="45">
        <f>F547+F549+F548</f>
        <v>1814992.3697799998</v>
      </c>
      <c r="G546" s="16"/>
      <c r="H546" s="16"/>
      <c r="I546" s="16"/>
      <c r="J546" s="16"/>
    </row>
    <row r="547" spans="1:10" s="2" customFormat="1" ht="12.75" x14ac:dyDescent="0.2">
      <c r="A547" s="42" t="s">
        <v>151</v>
      </c>
      <c r="B547" s="67" t="s">
        <v>337</v>
      </c>
      <c r="C547" s="44">
        <v>121</v>
      </c>
      <c r="D547" s="45">
        <v>1260425.6599999999</v>
      </c>
      <c r="E547" s="45">
        <v>1310842.69</v>
      </c>
      <c r="F547" s="45">
        <v>1363281.39</v>
      </c>
      <c r="G547" s="16"/>
      <c r="H547" s="16"/>
      <c r="I547" s="16"/>
      <c r="J547" s="16"/>
    </row>
    <row r="548" spans="1:10" s="2" customFormat="1" ht="25.5" x14ac:dyDescent="0.2">
      <c r="A548" s="42" t="s">
        <v>158</v>
      </c>
      <c r="B548" s="67" t="s">
        <v>337</v>
      </c>
      <c r="C548" s="44">
        <v>122</v>
      </c>
      <c r="D548" s="45">
        <v>40000</v>
      </c>
      <c r="E548" s="45">
        <v>40000</v>
      </c>
      <c r="F548" s="45">
        <v>40000</v>
      </c>
      <c r="G548" s="16"/>
      <c r="H548" s="16"/>
      <c r="I548" s="16"/>
      <c r="J548" s="16"/>
    </row>
    <row r="549" spans="1:10" s="2" customFormat="1" ht="38.25" x14ac:dyDescent="0.2">
      <c r="A549" s="42" t="s">
        <v>6</v>
      </c>
      <c r="B549" s="67" t="s">
        <v>337</v>
      </c>
      <c r="C549" s="44">
        <v>129</v>
      </c>
      <c r="D549" s="45">
        <v>380648.55</v>
      </c>
      <c r="E549" s="45">
        <v>395874.49237999995</v>
      </c>
      <c r="F549" s="45">
        <v>411710.97977999994</v>
      </c>
      <c r="G549" s="16"/>
      <c r="H549" s="16"/>
      <c r="I549" s="16"/>
      <c r="J549" s="16"/>
    </row>
    <row r="550" spans="1:10" s="2" customFormat="1" ht="25.5" x14ac:dyDescent="0.2">
      <c r="A550" s="42" t="s">
        <v>80</v>
      </c>
      <c r="B550" s="67" t="s">
        <v>337</v>
      </c>
      <c r="C550" s="51" t="s">
        <v>103</v>
      </c>
      <c r="D550" s="45">
        <f t="shared" ref="D550:F551" si="195">SUM(D551)</f>
        <v>140000</v>
      </c>
      <c r="E550" s="45">
        <f t="shared" si="195"/>
        <v>140000</v>
      </c>
      <c r="F550" s="45">
        <f t="shared" si="195"/>
        <v>140000</v>
      </c>
      <c r="G550" s="16"/>
      <c r="H550" s="16"/>
      <c r="I550" s="16"/>
      <c r="J550" s="16"/>
    </row>
    <row r="551" spans="1:10" s="2" customFormat="1" ht="25.5" x14ac:dyDescent="0.2">
      <c r="A551" s="42" t="s">
        <v>62</v>
      </c>
      <c r="B551" s="67" t="s">
        <v>337</v>
      </c>
      <c r="C551" s="51" t="s">
        <v>104</v>
      </c>
      <c r="D551" s="45">
        <f t="shared" si="195"/>
        <v>140000</v>
      </c>
      <c r="E551" s="45">
        <f t="shared" si="195"/>
        <v>140000</v>
      </c>
      <c r="F551" s="45">
        <f t="shared" si="195"/>
        <v>140000</v>
      </c>
      <c r="G551" s="16"/>
      <c r="H551" s="16"/>
      <c r="I551" s="16"/>
      <c r="J551" s="16"/>
    </row>
    <row r="552" spans="1:10" s="2" customFormat="1" ht="12.75" x14ac:dyDescent="0.2">
      <c r="A552" s="42" t="s">
        <v>21</v>
      </c>
      <c r="B552" s="67" t="s">
        <v>337</v>
      </c>
      <c r="C552" s="147" t="s">
        <v>65</v>
      </c>
      <c r="D552" s="45">
        <v>140000</v>
      </c>
      <c r="E552" s="45">
        <v>140000</v>
      </c>
      <c r="F552" s="45">
        <v>140000</v>
      </c>
      <c r="G552" s="16"/>
      <c r="H552" s="16"/>
      <c r="I552" s="16"/>
      <c r="J552" s="16"/>
    </row>
    <row r="553" spans="1:10" s="2" customFormat="1" ht="51" x14ac:dyDescent="0.2">
      <c r="A553" s="52" t="s">
        <v>362</v>
      </c>
      <c r="B553" s="64" t="s">
        <v>338</v>
      </c>
      <c r="C553" s="147"/>
      <c r="D553" s="132">
        <f>D554+D559</f>
        <v>1015537.1</v>
      </c>
      <c r="E553" s="132">
        <f>E554+E559</f>
        <v>1048358.58</v>
      </c>
      <c r="F553" s="132">
        <f>F554+F559</f>
        <v>1082496.18</v>
      </c>
      <c r="G553" s="16"/>
      <c r="H553" s="16"/>
      <c r="I553" s="16"/>
      <c r="J553" s="16"/>
    </row>
    <row r="554" spans="1:10" s="2" customFormat="1" ht="51" x14ac:dyDescent="0.2">
      <c r="A554" s="42" t="s">
        <v>82</v>
      </c>
      <c r="B554" s="64" t="s">
        <v>338</v>
      </c>
      <c r="C554" s="44">
        <v>100</v>
      </c>
      <c r="D554" s="45">
        <f>D555</f>
        <v>840537.1</v>
      </c>
      <c r="E554" s="45">
        <f>E555</f>
        <v>873358.58</v>
      </c>
      <c r="F554" s="45">
        <f>F555</f>
        <v>907496.17999999993</v>
      </c>
      <c r="G554" s="16"/>
      <c r="H554" s="16"/>
      <c r="I554" s="16"/>
      <c r="J554" s="16"/>
    </row>
    <row r="555" spans="1:10" s="2" customFormat="1" ht="25.5" x14ac:dyDescent="0.2">
      <c r="A555" s="42" t="s">
        <v>61</v>
      </c>
      <c r="B555" s="64" t="s">
        <v>338</v>
      </c>
      <c r="C555" s="44">
        <v>120</v>
      </c>
      <c r="D555" s="45">
        <f>D556+D558+D557</f>
        <v>840537.1</v>
      </c>
      <c r="E555" s="45">
        <f>E556+E558+E557</f>
        <v>873358.58</v>
      </c>
      <c r="F555" s="45">
        <f>F556+F558+F557</f>
        <v>907496.17999999993</v>
      </c>
      <c r="G555" s="16"/>
      <c r="H555" s="16"/>
      <c r="I555" s="16"/>
      <c r="J555" s="16"/>
    </row>
    <row r="556" spans="1:10" s="2" customFormat="1" ht="12.75" x14ac:dyDescent="0.2">
      <c r="A556" s="42" t="s">
        <v>151</v>
      </c>
      <c r="B556" s="64" t="s">
        <v>338</v>
      </c>
      <c r="C556" s="44">
        <v>121</v>
      </c>
      <c r="D556" s="45">
        <v>630212.82999999996</v>
      </c>
      <c r="E556" s="45">
        <v>655421.34</v>
      </c>
      <c r="F556" s="45">
        <v>681640.69</v>
      </c>
      <c r="G556" s="16"/>
      <c r="H556" s="16"/>
      <c r="I556" s="16"/>
      <c r="J556" s="16"/>
    </row>
    <row r="557" spans="1:10" s="2" customFormat="1" ht="25.5" x14ac:dyDescent="0.2">
      <c r="A557" s="42" t="s">
        <v>158</v>
      </c>
      <c r="B557" s="64" t="s">
        <v>338</v>
      </c>
      <c r="C557" s="44">
        <v>122</v>
      </c>
      <c r="D557" s="45">
        <v>20000</v>
      </c>
      <c r="E557" s="45">
        <v>20000</v>
      </c>
      <c r="F557" s="45">
        <v>20000</v>
      </c>
      <c r="G557" s="16"/>
      <c r="H557" s="16"/>
      <c r="I557" s="16"/>
      <c r="J557" s="16"/>
    </row>
    <row r="558" spans="1:10" s="2" customFormat="1" ht="38.25" x14ac:dyDescent="0.2">
      <c r="A558" s="42" t="s">
        <v>6</v>
      </c>
      <c r="B558" s="64" t="s">
        <v>338</v>
      </c>
      <c r="C558" s="44">
        <v>129</v>
      </c>
      <c r="D558" s="45">
        <v>190324.27</v>
      </c>
      <c r="E558" s="45">
        <v>197937.24</v>
      </c>
      <c r="F558" s="45">
        <v>205855.49</v>
      </c>
      <c r="G558" s="16"/>
      <c r="H558" s="16"/>
      <c r="I558" s="16"/>
      <c r="J558" s="16"/>
    </row>
    <row r="559" spans="1:10" s="2" customFormat="1" ht="25.5" x14ac:dyDescent="0.2">
      <c r="A559" s="42" t="s">
        <v>80</v>
      </c>
      <c r="B559" s="64" t="s">
        <v>338</v>
      </c>
      <c r="C559" s="51" t="s">
        <v>103</v>
      </c>
      <c r="D559" s="45">
        <f t="shared" ref="D559:F560" si="196">SUM(D560)</f>
        <v>175000</v>
      </c>
      <c r="E559" s="45">
        <f t="shared" si="196"/>
        <v>175000</v>
      </c>
      <c r="F559" s="45">
        <f t="shared" si="196"/>
        <v>175000</v>
      </c>
      <c r="G559" s="16"/>
      <c r="H559" s="16"/>
      <c r="I559" s="16"/>
      <c r="J559" s="16"/>
    </row>
    <row r="560" spans="1:10" s="2" customFormat="1" ht="25.5" x14ac:dyDescent="0.2">
      <c r="A560" s="42" t="s">
        <v>62</v>
      </c>
      <c r="B560" s="64" t="s">
        <v>338</v>
      </c>
      <c r="C560" s="51" t="s">
        <v>104</v>
      </c>
      <c r="D560" s="45">
        <f t="shared" si="196"/>
        <v>175000</v>
      </c>
      <c r="E560" s="45">
        <f t="shared" si="196"/>
        <v>175000</v>
      </c>
      <c r="F560" s="45">
        <f t="shared" si="196"/>
        <v>175000</v>
      </c>
      <c r="G560" s="16"/>
      <c r="H560" s="16"/>
      <c r="I560" s="16"/>
      <c r="J560" s="16"/>
    </row>
    <row r="561" spans="1:10" s="2" customFormat="1" ht="12.75" x14ac:dyDescent="0.2">
      <c r="A561" s="42" t="s">
        <v>21</v>
      </c>
      <c r="B561" s="64" t="s">
        <v>338</v>
      </c>
      <c r="C561" s="147" t="s">
        <v>65</v>
      </c>
      <c r="D561" s="45">
        <v>175000</v>
      </c>
      <c r="E561" s="45">
        <v>175000</v>
      </c>
      <c r="F561" s="45">
        <v>175000</v>
      </c>
      <c r="G561" s="16"/>
      <c r="H561" s="16"/>
      <c r="I561" s="16"/>
      <c r="J561" s="16"/>
    </row>
    <row r="562" spans="1:10" s="2" customFormat="1" ht="25.5" x14ac:dyDescent="0.2">
      <c r="A562" s="42" t="s">
        <v>60</v>
      </c>
      <c r="B562" s="64" t="s">
        <v>168</v>
      </c>
      <c r="C562" s="147"/>
      <c r="D562" s="45">
        <f>D563+D569+D574+D571</f>
        <v>132718697.28</v>
      </c>
      <c r="E562" s="45">
        <f t="shared" ref="E562:F562" si="197">E563+E569+E574+E571</f>
        <v>130892967.19</v>
      </c>
      <c r="F562" s="45">
        <f t="shared" si="197"/>
        <v>132098886.08000001</v>
      </c>
      <c r="G562" s="16"/>
      <c r="H562" s="16"/>
      <c r="I562" s="16"/>
      <c r="J562" s="16"/>
    </row>
    <row r="563" spans="1:10" s="2" customFormat="1" ht="51" x14ac:dyDescent="0.2">
      <c r="A563" s="84" t="s">
        <v>82</v>
      </c>
      <c r="B563" s="64" t="s">
        <v>168</v>
      </c>
      <c r="C563" s="44">
        <v>100</v>
      </c>
      <c r="D563" s="45">
        <f>D564</f>
        <v>123704109.11</v>
      </c>
      <c r="E563" s="45">
        <f>E564</f>
        <v>122113834.31</v>
      </c>
      <c r="F563" s="45">
        <f>F564</f>
        <v>123319753.20000002</v>
      </c>
      <c r="G563" s="16"/>
      <c r="H563" s="16"/>
      <c r="I563" s="16"/>
      <c r="J563" s="16"/>
    </row>
    <row r="564" spans="1:10" s="2" customFormat="1" ht="25.5" x14ac:dyDescent="0.2">
      <c r="A564" s="42" t="s">
        <v>61</v>
      </c>
      <c r="B564" s="64" t="s">
        <v>168</v>
      </c>
      <c r="C564" s="44">
        <v>120</v>
      </c>
      <c r="D564" s="45">
        <f>D565+D566+D567</f>
        <v>123704109.11</v>
      </c>
      <c r="E564" s="45">
        <f>E565+E566+E567</f>
        <v>122113834.31</v>
      </c>
      <c r="F564" s="45">
        <f>F565+F566+F567</f>
        <v>123319753.20000002</v>
      </c>
      <c r="G564" s="16"/>
      <c r="H564" s="16"/>
      <c r="I564" s="16"/>
      <c r="J564" s="16"/>
    </row>
    <row r="565" spans="1:10" s="2" customFormat="1" ht="12.75" x14ac:dyDescent="0.2">
      <c r="A565" s="42" t="s">
        <v>7</v>
      </c>
      <c r="B565" s="64" t="s">
        <v>168</v>
      </c>
      <c r="C565" s="44">
        <v>121</v>
      </c>
      <c r="D565" s="45">
        <f>92620498.31+1221409.24</f>
        <v>93841907.549999997</v>
      </c>
      <c r="E565" s="45">
        <v>92620498.310000002</v>
      </c>
      <c r="F565" s="45">
        <v>93546703.290000007</v>
      </c>
      <c r="G565" s="16"/>
      <c r="H565" s="16"/>
      <c r="I565" s="16"/>
      <c r="J565" s="16"/>
    </row>
    <row r="566" spans="1:10" s="2" customFormat="1" ht="25.5" x14ac:dyDescent="0.2">
      <c r="A566" s="42" t="s">
        <v>158</v>
      </c>
      <c r="B566" s="64" t="s">
        <v>168</v>
      </c>
      <c r="C566" s="44">
        <v>122</v>
      </c>
      <c r="D566" s="45">
        <v>1521945.5</v>
      </c>
      <c r="E566" s="45">
        <v>1521945.5</v>
      </c>
      <c r="F566" s="45">
        <v>1521945.5</v>
      </c>
      <c r="G566" s="16"/>
      <c r="H566" s="16"/>
      <c r="I566" s="16"/>
      <c r="J566" s="16"/>
    </row>
    <row r="567" spans="1:10" s="2" customFormat="1" ht="38.25" x14ac:dyDescent="0.2">
      <c r="A567" s="42" t="s">
        <v>6</v>
      </c>
      <c r="B567" s="64" t="s">
        <v>168</v>
      </c>
      <c r="C567" s="44">
        <v>129</v>
      </c>
      <c r="D567" s="45">
        <f>27971390.5+368865.56</f>
        <v>28340256.059999999</v>
      </c>
      <c r="E567" s="45">
        <v>27971390.5</v>
      </c>
      <c r="F567" s="45">
        <v>28251104.410000004</v>
      </c>
      <c r="G567" s="16"/>
      <c r="H567" s="16"/>
      <c r="I567" s="16"/>
      <c r="J567" s="16"/>
    </row>
    <row r="568" spans="1:10" s="2" customFormat="1" ht="25.5" x14ac:dyDescent="0.2">
      <c r="A568" s="42" t="s">
        <v>80</v>
      </c>
      <c r="B568" s="64" t="s">
        <v>168</v>
      </c>
      <c r="C568" s="44">
        <v>200</v>
      </c>
      <c r="D568" s="45">
        <f t="shared" ref="D568:F569" si="198">D569</f>
        <v>8364132.8799999999</v>
      </c>
      <c r="E568" s="45">
        <f t="shared" si="198"/>
        <v>8374132.8799999999</v>
      </c>
      <c r="F568" s="45">
        <f t="shared" si="198"/>
        <v>8374132.8799999999</v>
      </c>
      <c r="G568" s="16"/>
      <c r="H568" s="16"/>
      <c r="I568" s="16"/>
      <c r="J568" s="16"/>
    </row>
    <row r="569" spans="1:10" s="2" customFormat="1" ht="25.5" x14ac:dyDescent="0.2">
      <c r="A569" s="42" t="s">
        <v>62</v>
      </c>
      <c r="B569" s="64" t="s">
        <v>168</v>
      </c>
      <c r="C569" s="44">
        <v>240</v>
      </c>
      <c r="D569" s="45">
        <f t="shared" si="198"/>
        <v>8364132.8799999999</v>
      </c>
      <c r="E569" s="45">
        <f t="shared" si="198"/>
        <v>8374132.8799999999</v>
      </c>
      <c r="F569" s="45">
        <f t="shared" si="198"/>
        <v>8374132.8799999999</v>
      </c>
      <c r="G569" s="16"/>
      <c r="H569" s="16"/>
      <c r="I569" s="16"/>
      <c r="J569" s="16"/>
    </row>
    <row r="570" spans="1:10" s="2" customFormat="1" ht="12.75" x14ac:dyDescent="0.2">
      <c r="A570" s="42" t="s">
        <v>21</v>
      </c>
      <c r="B570" s="64" t="s">
        <v>168</v>
      </c>
      <c r="C570" s="44">
        <v>244</v>
      </c>
      <c r="D570" s="45">
        <f>8374132.88-10000</f>
        <v>8364132.8799999999</v>
      </c>
      <c r="E570" s="45">
        <v>8374132.8799999999</v>
      </c>
      <c r="F570" s="45">
        <v>8374132.8799999999</v>
      </c>
      <c r="G570" s="16"/>
      <c r="H570" s="16"/>
      <c r="I570" s="16"/>
      <c r="J570" s="16"/>
    </row>
    <row r="571" spans="1:10" s="2" customFormat="1" ht="12.75" x14ac:dyDescent="0.2">
      <c r="A571" s="42" t="s">
        <v>84</v>
      </c>
      <c r="B571" s="64" t="s">
        <v>168</v>
      </c>
      <c r="C571" s="44">
        <v>300</v>
      </c>
      <c r="D571" s="45">
        <f>D572</f>
        <v>246455.29</v>
      </c>
      <c r="E571" s="45">
        <f t="shared" ref="E571" si="199">E572</f>
        <v>0</v>
      </c>
      <c r="F571" s="45">
        <f t="shared" ref="F571" si="200">F572</f>
        <v>0</v>
      </c>
      <c r="G571" s="16"/>
      <c r="H571" s="16"/>
      <c r="I571" s="16"/>
      <c r="J571" s="16"/>
    </row>
    <row r="572" spans="1:10" s="2" customFormat="1" ht="25.5" x14ac:dyDescent="0.2">
      <c r="A572" s="42" t="s">
        <v>72</v>
      </c>
      <c r="B572" s="64" t="s">
        <v>168</v>
      </c>
      <c r="C572" s="44">
        <v>320</v>
      </c>
      <c r="D572" s="45">
        <f>D573</f>
        <v>246455.29</v>
      </c>
      <c r="E572" s="45">
        <f t="shared" ref="E572:F572" si="201">E573</f>
        <v>0</v>
      </c>
      <c r="F572" s="45">
        <f t="shared" si="201"/>
        <v>0</v>
      </c>
      <c r="G572" s="16"/>
      <c r="H572" s="16"/>
      <c r="I572" s="16"/>
      <c r="J572" s="16"/>
    </row>
    <row r="573" spans="1:10" s="2" customFormat="1" ht="25.5" x14ac:dyDescent="0.2">
      <c r="A573" s="42" t="s">
        <v>18</v>
      </c>
      <c r="B573" s="64" t="s">
        <v>168</v>
      </c>
      <c r="C573" s="44">
        <v>321</v>
      </c>
      <c r="D573" s="45">
        <v>246455.29</v>
      </c>
      <c r="E573" s="45"/>
      <c r="F573" s="45"/>
      <c r="G573" s="16"/>
      <c r="H573" s="16"/>
      <c r="I573" s="16"/>
      <c r="J573" s="16"/>
    </row>
    <row r="574" spans="1:10" s="2" customFormat="1" ht="12.75" x14ac:dyDescent="0.2">
      <c r="A574" s="52" t="s">
        <v>169</v>
      </c>
      <c r="B574" s="64" t="s">
        <v>168</v>
      </c>
      <c r="C574" s="44">
        <v>800</v>
      </c>
      <c r="D574" s="45">
        <f>D577+D575</f>
        <v>404000</v>
      </c>
      <c r="E574" s="45">
        <f>E577+E575</f>
        <v>405000</v>
      </c>
      <c r="F574" s="45">
        <f>F577+F575</f>
        <v>405000</v>
      </c>
      <c r="G574" s="16"/>
      <c r="H574" s="16"/>
      <c r="I574" s="16"/>
      <c r="J574" s="16"/>
    </row>
    <row r="575" spans="1:10" s="2" customFormat="1" ht="12.75" x14ac:dyDescent="0.2">
      <c r="A575" s="42" t="s">
        <v>186</v>
      </c>
      <c r="B575" s="64" t="s">
        <v>168</v>
      </c>
      <c r="C575" s="44">
        <v>830</v>
      </c>
      <c r="D575" s="45">
        <f>D576</f>
        <v>150000</v>
      </c>
      <c r="E575" s="45">
        <f>E576</f>
        <v>150000</v>
      </c>
      <c r="F575" s="45">
        <f>F576</f>
        <v>150000</v>
      </c>
      <c r="G575" s="16"/>
      <c r="H575" s="16"/>
      <c r="I575" s="16"/>
      <c r="J575" s="16"/>
    </row>
    <row r="576" spans="1:10" s="2" customFormat="1" ht="37.5" customHeight="1" x14ac:dyDescent="0.2">
      <c r="A576" s="84" t="s">
        <v>187</v>
      </c>
      <c r="B576" s="64" t="s">
        <v>168</v>
      </c>
      <c r="C576" s="44">
        <v>831</v>
      </c>
      <c r="D576" s="45">
        <v>150000</v>
      </c>
      <c r="E576" s="45">
        <v>150000</v>
      </c>
      <c r="F576" s="45">
        <v>150000</v>
      </c>
      <c r="G576" s="16"/>
      <c r="H576" s="16"/>
      <c r="I576" s="16"/>
      <c r="J576" s="16"/>
    </row>
    <row r="577" spans="1:10" s="2" customFormat="1" ht="12.75" x14ac:dyDescent="0.2">
      <c r="A577" s="42" t="s">
        <v>159</v>
      </c>
      <c r="B577" s="64" t="s">
        <v>168</v>
      </c>
      <c r="C577" s="44">
        <v>850</v>
      </c>
      <c r="D577" s="45">
        <v>254000</v>
      </c>
      <c r="E577" s="45">
        <v>255000</v>
      </c>
      <c r="F577" s="45">
        <v>255000</v>
      </c>
      <c r="G577" s="16"/>
      <c r="H577" s="16"/>
      <c r="I577" s="16"/>
      <c r="J577" s="16"/>
    </row>
    <row r="578" spans="1:10" s="5" customFormat="1" ht="30" customHeight="1" x14ac:dyDescent="0.2">
      <c r="A578" s="56" t="s">
        <v>134</v>
      </c>
      <c r="B578" s="57" t="s">
        <v>135</v>
      </c>
      <c r="C578" s="105"/>
      <c r="D578" s="59">
        <f>D583+D579</f>
        <v>4049441.2199999993</v>
      </c>
      <c r="E578" s="59">
        <f t="shared" ref="E578:F578" si="202">E583+E579</f>
        <v>1022270.15</v>
      </c>
      <c r="F578" s="59">
        <f t="shared" si="202"/>
        <v>1020858.92</v>
      </c>
      <c r="G578" s="15"/>
      <c r="H578" s="15"/>
      <c r="I578" s="15"/>
      <c r="J578" s="15"/>
    </row>
    <row r="579" spans="1:10" s="5" customFormat="1" ht="19.5" customHeight="1" x14ac:dyDescent="0.2">
      <c r="A579" s="157" t="s">
        <v>456</v>
      </c>
      <c r="B579" s="39" t="s">
        <v>455</v>
      </c>
      <c r="C579" s="136"/>
      <c r="D579" s="45">
        <f t="shared" ref="D579:D580" si="203">D580</f>
        <v>596241.67000000004</v>
      </c>
      <c r="E579" s="45">
        <f t="shared" ref="E579:E580" si="204">E580</f>
        <v>0</v>
      </c>
      <c r="F579" s="45">
        <f t="shared" ref="F579:F580" si="205">F580</f>
        <v>0</v>
      </c>
      <c r="G579" s="15"/>
      <c r="H579" s="15"/>
      <c r="I579" s="15"/>
      <c r="J579" s="15"/>
    </row>
    <row r="580" spans="1:10" s="5" customFormat="1" ht="27.75" customHeight="1" x14ac:dyDescent="0.2">
      <c r="A580" s="157" t="s">
        <v>81</v>
      </c>
      <c r="B580" s="39" t="s">
        <v>455</v>
      </c>
      <c r="C580" s="136">
        <v>600</v>
      </c>
      <c r="D580" s="45">
        <f t="shared" si="203"/>
        <v>596241.67000000004</v>
      </c>
      <c r="E580" s="45">
        <f t="shared" si="204"/>
        <v>0</v>
      </c>
      <c r="F580" s="45">
        <f t="shared" si="205"/>
        <v>0</v>
      </c>
      <c r="G580" s="15"/>
      <c r="H580" s="15"/>
      <c r="I580" s="15"/>
      <c r="J580" s="15"/>
    </row>
    <row r="581" spans="1:10" s="5" customFormat="1" ht="19.5" customHeight="1" x14ac:dyDescent="0.2">
      <c r="A581" s="157" t="s">
        <v>49</v>
      </c>
      <c r="B581" s="39" t="s">
        <v>455</v>
      </c>
      <c r="C581" s="136">
        <v>610</v>
      </c>
      <c r="D581" s="45">
        <f>D582</f>
        <v>596241.67000000004</v>
      </c>
      <c r="E581" s="45">
        <f t="shared" ref="E581:F581" si="206">E582</f>
        <v>0</v>
      </c>
      <c r="F581" s="45">
        <f t="shared" si="206"/>
        <v>0</v>
      </c>
      <c r="G581" s="15"/>
      <c r="H581" s="15"/>
      <c r="I581" s="15"/>
      <c r="J581" s="15"/>
    </row>
    <row r="582" spans="1:10" s="5" customFormat="1" ht="19.5" customHeight="1" x14ac:dyDescent="0.2">
      <c r="A582" s="157" t="s">
        <v>2</v>
      </c>
      <c r="B582" s="39" t="s">
        <v>455</v>
      </c>
      <c r="C582" s="136">
        <v>612</v>
      </c>
      <c r="D582" s="45">
        <v>596241.67000000004</v>
      </c>
      <c r="E582" s="45"/>
      <c r="F582" s="45"/>
      <c r="G582" s="15"/>
      <c r="H582" s="15"/>
      <c r="I582" s="15"/>
      <c r="J582" s="15"/>
    </row>
    <row r="583" spans="1:10" s="2" customFormat="1" ht="18" customHeight="1" x14ac:dyDescent="0.2">
      <c r="A583" s="52" t="s">
        <v>170</v>
      </c>
      <c r="B583" s="64" t="s">
        <v>171</v>
      </c>
      <c r="C583" s="51"/>
      <c r="D583" s="45">
        <f>D591+D584+D588</f>
        <v>3453199.5499999993</v>
      </c>
      <c r="E583" s="45">
        <f t="shared" ref="E583:F583" si="207">E591+E584+E588</f>
        <v>1022270.15</v>
      </c>
      <c r="F583" s="45">
        <f t="shared" si="207"/>
        <v>1020858.92</v>
      </c>
      <c r="G583" s="16"/>
      <c r="H583" s="16"/>
      <c r="I583" s="16"/>
      <c r="J583" s="16"/>
    </row>
    <row r="584" spans="1:10" s="2" customFormat="1" ht="27.75" customHeight="1" x14ac:dyDescent="0.2">
      <c r="A584" s="42" t="s">
        <v>80</v>
      </c>
      <c r="B584" s="64" t="s">
        <v>171</v>
      </c>
      <c r="C584" s="51">
        <v>200</v>
      </c>
      <c r="D584" s="45">
        <f>D585</f>
        <v>268620</v>
      </c>
      <c r="E584" s="45">
        <f t="shared" ref="E584" si="208">E585</f>
        <v>0</v>
      </c>
      <c r="F584" s="45">
        <f t="shared" ref="F584" si="209">F585</f>
        <v>0</v>
      </c>
      <c r="G584" s="16"/>
      <c r="H584" s="16"/>
      <c r="I584" s="16"/>
      <c r="J584" s="16"/>
    </row>
    <row r="585" spans="1:10" s="2" customFormat="1" ht="26.25" customHeight="1" x14ac:dyDescent="0.2">
      <c r="A585" s="42" t="s">
        <v>62</v>
      </c>
      <c r="B585" s="64" t="s">
        <v>171</v>
      </c>
      <c r="C585" s="51">
        <v>240</v>
      </c>
      <c r="D585" s="45">
        <f>D586+D587</f>
        <v>268620</v>
      </c>
      <c r="E585" s="45">
        <f t="shared" ref="E585:F585" si="210">E586+E587</f>
        <v>0</v>
      </c>
      <c r="F585" s="45">
        <f t="shared" si="210"/>
        <v>0</v>
      </c>
      <c r="G585" s="16"/>
      <c r="H585" s="16"/>
      <c r="I585" s="16"/>
      <c r="J585" s="16"/>
    </row>
    <row r="586" spans="1:10" s="2" customFormat="1" ht="27.75" customHeight="1" x14ac:dyDescent="0.2">
      <c r="A586" s="84" t="s">
        <v>344</v>
      </c>
      <c r="B586" s="64" t="s">
        <v>171</v>
      </c>
      <c r="C586" s="51">
        <v>243</v>
      </c>
      <c r="D586" s="45">
        <v>40000</v>
      </c>
      <c r="E586" s="45">
        <v>0</v>
      </c>
      <c r="F586" s="45">
        <v>0</v>
      </c>
      <c r="G586" s="16"/>
      <c r="H586" s="16"/>
      <c r="I586" s="16"/>
      <c r="J586" s="16"/>
    </row>
    <row r="587" spans="1:10" s="2" customFormat="1" ht="27.75" customHeight="1" x14ac:dyDescent="0.2">
      <c r="A587" s="84" t="s">
        <v>21</v>
      </c>
      <c r="B587" s="64" t="s">
        <v>171</v>
      </c>
      <c r="C587" s="51">
        <v>244</v>
      </c>
      <c r="D587" s="45">
        <v>228620</v>
      </c>
      <c r="E587" s="45">
        <v>0</v>
      </c>
      <c r="F587" s="45">
        <v>0</v>
      </c>
      <c r="G587" s="16"/>
      <c r="H587" s="16"/>
      <c r="I587" s="16"/>
      <c r="J587" s="16"/>
    </row>
    <row r="588" spans="1:10" s="2" customFormat="1" ht="27.75" customHeight="1" x14ac:dyDescent="0.2">
      <c r="A588" s="84" t="s">
        <v>84</v>
      </c>
      <c r="B588" s="64" t="s">
        <v>171</v>
      </c>
      <c r="C588" s="51">
        <v>300</v>
      </c>
      <c r="D588" s="45">
        <f>D589</f>
        <v>200000</v>
      </c>
      <c r="E588" s="45">
        <f t="shared" ref="E588" si="211">E589</f>
        <v>0</v>
      </c>
      <c r="F588" s="45">
        <f t="shared" ref="F588" si="212">F589</f>
        <v>0</v>
      </c>
      <c r="G588" s="16"/>
      <c r="H588" s="16"/>
      <c r="I588" s="16"/>
      <c r="J588" s="16"/>
    </row>
    <row r="589" spans="1:10" s="2" customFormat="1" ht="27.75" customHeight="1" x14ac:dyDescent="0.2">
      <c r="A589" s="84" t="s">
        <v>72</v>
      </c>
      <c r="B589" s="64" t="s">
        <v>171</v>
      </c>
      <c r="C589" s="51">
        <v>320</v>
      </c>
      <c r="D589" s="45">
        <f>D590</f>
        <v>200000</v>
      </c>
      <c r="E589" s="45">
        <f t="shared" ref="E589:F589" si="213">E590</f>
        <v>0</v>
      </c>
      <c r="F589" s="45">
        <f t="shared" si="213"/>
        <v>0</v>
      </c>
      <c r="G589" s="16"/>
      <c r="H589" s="16"/>
      <c r="I589" s="16"/>
      <c r="J589" s="16"/>
    </row>
    <row r="590" spans="1:10" s="2" customFormat="1" ht="27.75" customHeight="1" x14ac:dyDescent="0.2">
      <c r="A590" s="84" t="s">
        <v>18</v>
      </c>
      <c r="B590" s="64" t="s">
        <v>171</v>
      </c>
      <c r="C590" s="51">
        <v>321</v>
      </c>
      <c r="D590" s="45">
        <f>180000+20000</f>
        <v>200000</v>
      </c>
      <c r="E590" s="45"/>
      <c r="F590" s="45"/>
      <c r="G590" s="16"/>
      <c r="H590" s="16"/>
      <c r="I590" s="16"/>
      <c r="J590" s="16"/>
    </row>
    <row r="591" spans="1:10" s="2" customFormat="1" ht="12.75" customHeight="1" x14ac:dyDescent="0.2">
      <c r="A591" s="42" t="s">
        <v>83</v>
      </c>
      <c r="B591" s="64" t="s">
        <v>171</v>
      </c>
      <c r="C591" s="51">
        <v>800</v>
      </c>
      <c r="D591" s="45">
        <f>D592</f>
        <v>2984579.5499999993</v>
      </c>
      <c r="E591" s="45">
        <f>E592</f>
        <v>1022270.15</v>
      </c>
      <c r="F591" s="45">
        <f>F592</f>
        <v>1020858.92</v>
      </c>
      <c r="G591" s="16"/>
      <c r="H591" s="16"/>
      <c r="I591" s="16"/>
      <c r="J591" s="16"/>
    </row>
    <row r="592" spans="1:10" s="2" customFormat="1" ht="12.75" x14ac:dyDescent="0.2">
      <c r="A592" s="52" t="s">
        <v>172</v>
      </c>
      <c r="B592" s="64" t="s">
        <v>171</v>
      </c>
      <c r="C592" s="51" t="s">
        <v>173</v>
      </c>
      <c r="D592" s="45">
        <f>5491817.59-40000+25802.14+1973398.97-408620-20000-21445.2-483400-175750-355000-444444.45-318402.64-1836730.09-402646.77</f>
        <v>2984579.5499999993</v>
      </c>
      <c r="E592" s="45">
        <f>1000000+22270.15</f>
        <v>1022270.15</v>
      </c>
      <c r="F592" s="45">
        <f>1000000+20858.92</f>
        <v>1020858.92</v>
      </c>
      <c r="G592" s="16"/>
      <c r="H592" s="16"/>
      <c r="I592" s="16"/>
      <c r="J592" s="16"/>
    </row>
    <row r="593" spans="1:10" s="5" customFormat="1" ht="30.75" customHeight="1" x14ac:dyDescent="0.2">
      <c r="A593" s="56" t="s">
        <v>136</v>
      </c>
      <c r="B593" s="57" t="s">
        <v>137</v>
      </c>
      <c r="C593" s="105"/>
      <c r="D593" s="59">
        <f>D594</f>
        <v>3428097.5</v>
      </c>
      <c r="E593" s="59">
        <f>E594</f>
        <v>3746437.5</v>
      </c>
      <c r="F593" s="59">
        <f>F594</f>
        <v>3884555</v>
      </c>
      <c r="G593" s="15"/>
      <c r="H593" s="15"/>
      <c r="I593" s="15"/>
      <c r="J593" s="15"/>
    </row>
    <row r="594" spans="1:10" s="5" customFormat="1" ht="38.25" x14ac:dyDescent="0.2">
      <c r="A594" s="158" t="s">
        <v>365</v>
      </c>
      <c r="B594" s="77" t="s">
        <v>339</v>
      </c>
      <c r="C594" s="51"/>
      <c r="D594" s="45">
        <f>D595+D600</f>
        <v>3428097.5</v>
      </c>
      <c r="E594" s="45">
        <f>E595+E600</f>
        <v>3746437.5</v>
      </c>
      <c r="F594" s="45">
        <f>F595+F600</f>
        <v>3884555</v>
      </c>
      <c r="G594" s="15"/>
      <c r="H594" s="15"/>
      <c r="I594" s="15"/>
      <c r="J594" s="15"/>
    </row>
    <row r="595" spans="1:10" s="5" customFormat="1" ht="51" x14ac:dyDescent="0.2">
      <c r="A595" s="42" t="s">
        <v>82</v>
      </c>
      <c r="B595" s="77" t="s">
        <v>339</v>
      </c>
      <c r="C595" s="44">
        <v>100</v>
      </c>
      <c r="D595" s="45">
        <f>D596</f>
        <v>3183600</v>
      </c>
      <c r="E595" s="45">
        <f>E596</f>
        <v>3501940</v>
      </c>
      <c r="F595" s="45">
        <f>F596</f>
        <v>3640056</v>
      </c>
      <c r="G595" s="15"/>
      <c r="H595" s="15"/>
      <c r="I595" s="15"/>
      <c r="J595" s="15"/>
    </row>
    <row r="596" spans="1:10" s="5" customFormat="1" ht="25.5" x14ac:dyDescent="0.2">
      <c r="A596" s="42" t="s">
        <v>61</v>
      </c>
      <c r="B596" s="77" t="s">
        <v>339</v>
      </c>
      <c r="C596" s="44">
        <v>120</v>
      </c>
      <c r="D596" s="45">
        <f>D597+D599+D598</f>
        <v>3183600</v>
      </c>
      <c r="E596" s="45">
        <f>E597+E599+E598</f>
        <v>3501940</v>
      </c>
      <c r="F596" s="45">
        <f>F597+F599+F598</f>
        <v>3640056</v>
      </c>
      <c r="G596" s="15"/>
      <c r="H596" s="15"/>
      <c r="I596" s="15"/>
      <c r="J596" s="15"/>
    </row>
    <row r="597" spans="1:10" s="5" customFormat="1" ht="12.75" x14ac:dyDescent="0.2">
      <c r="A597" s="42" t="s">
        <v>151</v>
      </c>
      <c r="B597" s="77" t="s">
        <v>339</v>
      </c>
      <c r="C597" s="44">
        <v>121</v>
      </c>
      <c r="D597" s="45">
        <f>2298325.65+34431.64</f>
        <v>2332757.29</v>
      </c>
      <c r="E597" s="45">
        <f>2551874.04+25384.02</f>
        <v>2577258.06</v>
      </c>
      <c r="F597" s="45">
        <f>2656774.19+26563.74</f>
        <v>2683337.9300000002</v>
      </c>
      <c r="G597" s="15"/>
      <c r="H597" s="15"/>
      <c r="I597" s="15"/>
      <c r="J597" s="15"/>
    </row>
    <row r="598" spans="1:10" s="5" customFormat="1" ht="25.5" x14ac:dyDescent="0.2">
      <c r="A598" s="42" t="s">
        <v>158</v>
      </c>
      <c r="B598" s="77" t="s">
        <v>339</v>
      </c>
      <c r="C598" s="44">
        <v>122</v>
      </c>
      <c r="D598" s="45">
        <v>146350</v>
      </c>
      <c r="E598" s="45">
        <v>146350</v>
      </c>
      <c r="F598" s="45">
        <v>146350</v>
      </c>
      <c r="G598" s="15"/>
      <c r="H598" s="15"/>
      <c r="I598" s="15"/>
      <c r="J598" s="15"/>
    </row>
    <row r="599" spans="1:10" s="5" customFormat="1" ht="38.25" x14ac:dyDescent="0.2">
      <c r="A599" s="42" t="s">
        <v>6</v>
      </c>
      <c r="B599" s="77" t="s">
        <v>339</v>
      </c>
      <c r="C599" s="44">
        <v>129</v>
      </c>
      <c r="D599" s="159">
        <v>704492.71</v>
      </c>
      <c r="E599" s="159">
        <f>770665.96+7665.98</f>
        <v>778331.94</v>
      </c>
      <c r="F599" s="159">
        <v>810368.07</v>
      </c>
      <c r="G599" s="15"/>
      <c r="H599" s="15"/>
      <c r="I599" s="15"/>
      <c r="J599" s="15"/>
    </row>
    <row r="600" spans="1:10" s="5" customFormat="1" ht="25.5" x14ac:dyDescent="0.2">
      <c r="A600" s="42" t="s">
        <v>80</v>
      </c>
      <c r="B600" s="77" t="s">
        <v>339</v>
      </c>
      <c r="C600" s="44">
        <v>200</v>
      </c>
      <c r="D600" s="45">
        <f t="shared" ref="D600:F601" si="214">D601</f>
        <v>244497.5</v>
      </c>
      <c r="E600" s="45">
        <f t="shared" si="214"/>
        <v>244497.5</v>
      </c>
      <c r="F600" s="45">
        <f t="shared" si="214"/>
        <v>244499</v>
      </c>
      <c r="G600" s="15"/>
      <c r="H600" s="15"/>
      <c r="I600" s="15"/>
      <c r="J600" s="15"/>
    </row>
    <row r="601" spans="1:10" s="5" customFormat="1" ht="25.5" x14ac:dyDescent="0.2">
      <c r="A601" s="42" t="s">
        <v>62</v>
      </c>
      <c r="B601" s="77" t="s">
        <v>339</v>
      </c>
      <c r="C601" s="44">
        <v>240</v>
      </c>
      <c r="D601" s="45">
        <f t="shared" si="214"/>
        <v>244497.5</v>
      </c>
      <c r="E601" s="45">
        <f t="shared" si="214"/>
        <v>244497.5</v>
      </c>
      <c r="F601" s="45">
        <f t="shared" si="214"/>
        <v>244499</v>
      </c>
      <c r="G601" s="15"/>
      <c r="H601" s="15"/>
      <c r="I601" s="15"/>
      <c r="J601" s="15"/>
    </row>
    <row r="602" spans="1:10" s="5" customFormat="1" ht="12.75" x14ac:dyDescent="0.2">
      <c r="A602" s="42" t="s">
        <v>96</v>
      </c>
      <c r="B602" s="77" t="s">
        <v>339</v>
      </c>
      <c r="C602" s="44">
        <v>244</v>
      </c>
      <c r="D602" s="45">
        <v>244497.5</v>
      </c>
      <c r="E602" s="45">
        <v>244497.5</v>
      </c>
      <c r="F602" s="45">
        <v>244499</v>
      </c>
      <c r="G602" s="15"/>
      <c r="H602" s="15"/>
      <c r="I602" s="15"/>
      <c r="J602" s="15"/>
    </row>
    <row r="603" spans="1:10" s="5" customFormat="1" ht="32.25" customHeight="1" x14ac:dyDescent="0.2">
      <c r="A603" s="56" t="s">
        <v>138</v>
      </c>
      <c r="B603" s="57" t="s">
        <v>139</v>
      </c>
      <c r="C603" s="105"/>
      <c r="D603" s="59">
        <f>SUM(D604,D608)</f>
        <v>3087662.96</v>
      </c>
      <c r="E603" s="59">
        <f>SUM(E604,E608)</f>
        <v>3755552.55</v>
      </c>
      <c r="F603" s="59">
        <f>SUM(F604,F608)</f>
        <v>3855358.65</v>
      </c>
      <c r="G603" s="15"/>
      <c r="H603" s="15"/>
      <c r="I603" s="15"/>
      <c r="J603" s="15"/>
    </row>
    <row r="604" spans="1:10" s="2" customFormat="1" ht="26.25" customHeight="1" x14ac:dyDescent="0.2">
      <c r="A604" s="84" t="s">
        <v>174</v>
      </c>
      <c r="B604" s="64" t="s">
        <v>175</v>
      </c>
      <c r="C604" s="51"/>
      <c r="D604" s="50">
        <f>D606</f>
        <v>381499.71</v>
      </c>
      <c r="E604" s="50">
        <f>E606</f>
        <v>583460</v>
      </c>
      <c r="F604" s="50">
        <f>F606</f>
        <v>583460</v>
      </c>
      <c r="G604" s="16"/>
      <c r="H604" s="16"/>
      <c r="I604" s="16"/>
      <c r="J604" s="16"/>
    </row>
    <row r="605" spans="1:10" s="2" customFormat="1" ht="25.5" x14ac:dyDescent="0.2">
      <c r="A605" s="42" t="s">
        <v>80</v>
      </c>
      <c r="B605" s="64" t="s">
        <v>175</v>
      </c>
      <c r="C605" s="44">
        <v>200</v>
      </c>
      <c r="D605" s="45">
        <f t="shared" ref="D605:F606" si="215">D606</f>
        <v>381499.71</v>
      </c>
      <c r="E605" s="45">
        <f t="shared" si="215"/>
        <v>583460</v>
      </c>
      <c r="F605" s="45">
        <f t="shared" si="215"/>
        <v>583460</v>
      </c>
      <c r="G605" s="16"/>
      <c r="H605" s="16"/>
      <c r="I605" s="16"/>
      <c r="J605" s="16"/>
    </row>
    <row r="606" spans="1:10" s="2" customFormat="1" ht="25.5" x14ac:dyDescent="0.2">
      <c r="A606" s="42" t="s">
        <v>62</v>
      </c>
      <c r="B606" s="64" t="s">
        <v>175</v>
      </c>
      <c r="C606" s="44">
        <v>240</v>
      </c>
      <c r="D606" s="45">
        <f t="shared" si="215"/>
        <v>381499.71</v>
      </c>
      <c r="E606" s="45">
        <f t="shared" si="215"/>
        <v>583460</v>
      </c>
      <c r="F606" s="45">
        <f t="shared" si="215"/>
        <v>583460</v>
      </c>
      <c r="G606" s="16"/>
      <c r="H606" s="16"/>
      <c r="I606" s="16"/>
      <c r="J606" s="16"/>
    </row>
    <row r="607" spans="1:10" s="2" customFormat="1" ht="12.75" x14ac:dyDescent="0.2">
      <c r="A607" s="42" t="s">
        <v>96</v>
      </c>
      <c r="B607" s="64" t="s">
        <v>175</v>
      </c>
      <c r="C607" s="44">
        <v>244</v>
      </c>
      <c r="D607" s="45">
        <f>583460-120000-81960.29</f>
        <v>381499.71</v>
      </c>
      <c r="E607" s="45">
        <v>583460</v>
      </c>
      <c r="F607" s="45">
        <v>583460</v>
      </c>
      <c r="G607" s="16"/>
      <c r="H607" s="16"/>
      <c r="I607" s="16"/>
      <c r="J607" s="16"/>
    </row>
    <row r="608" spans="1:10" s="2" customFormat="1" ht="12.75" x14ac:dyDescent="0.2">
      <c r="A608" s="82" t="s">
        <v>176</v>
      </c>
      <c r="B608" s="64" t="s">
        <v>177</v>
      </c>
      <c r="C608" s="51"/>
      <c r="D608" s="50">
        <f>D614+D609</f>
        <v>2706163.25</v>
      </c>
      <c r="E608" s="50">
        <f>E614+E609</f>
        <v>3172092.55</v>
      </c>
      <c r="F608" s="50">
        <f>F614+F609</f>
        <v>3271898.65</v>
      </c>
      <c r="G608" s="16"/>
      <c r="H608" s="16"/>
      <c r="I608" s="16"/>
      <c r="J608" s="16"/>
    </row>
    <row r="609" spans="1:10" s="2" customFormat="1" ht="25.5" x14ac:dyDescent="0.2">
      <c r="A609" s="42" t="s">
        <v>80</v>
      </c>
      <c r="B609" s="64" t="s">
        <v>177</v>
      </c>
      <c r="C609" s="44">
        <v>200</v>
      </c>
      <c r="D609" s="45">
        <f>D610</f>
        <v>2567063.25</v>
      </c>
      <c r="E609" s="45">
        <f>E610</f>
        <v>3032992.55</v>
      </c>
      <c r="F609" s="45">
        <f>F610</f>
        <v>3132798.65</v>
      </c>
      <c r="G609" s="16"/>
      <c r="H609" s="16"/>
      <c r="I609" s="16"/>
      <c r="J609" s="16"/>
    </row>
    <row r="610" spans="1:10" s="2" customFormat="1" ht="22.5" customHeight="1" x14ac:dyDescent="0.2">
      <c r="A610" s="42" t="s">
        <v>62</v>
      </c>
      <c r="B610" s="64" t="s">
        <v>177</v>
      </c>
      <c r="C610" s="44">
        <v>240</v>
      </c>
      <c r="D610" s="45">
        <f>D611+D612</f>
        <v>2567063.25</v>
      </c>
      <c r="E610" s="45">
        <f>E611+E612</f>
        <v>3032992.55</v>
      </c>
      <c r="F610" s="45">
        <f>F611+F612</f>
        <v>3132798.65</v>
      </c>
      <c r="G610" s="16"/>
      <c r="H610" s="16"/>
      <c r="I610" s="16"/>
      <c r="J610" s="16"/>
    </row>
    <row r="611" spans="1:10" s="2" customFormat="1" ht="12.75" x14ac:dyDescent="0.2">
      <c r="A611" s="42" t="s">
        <v>96</v>
      </c>
      <c r="B611" s="64" t="s">
        <v>177</v>
      </c>
      <c r="C611" s="44">
        <v>244</v>
      </c>
      <c r="D611" s="50">
        <v>750000</v>
      </c>
      <c r="E611" s="45">
        <v>537840</v>
      </c>
      <c r="F611" s="45">
        <v>537840</v>
      </c>
      <c r="G611" s="16"/>
      <c r="H611" s="16"/>
      <c r="I611" s="16"/>
      <c r="J611" s="16"/>
    </row>
    <row r="612" spans="1:10" s="2" customFormat="1" ht="12.75" x14ac:dyDescent="0.2">
      <c r="A612" s="42" t="s">
        <v>92</v>
      </c>
      <c r="B612" s="64" t="s">
        <v>177</v>
      </c>
      <c r="C612" s="44">
        <v>247</v>
      </c>
      <c r="D612" s="45">
        <f>2399185.14-582121.89</f>
        <v>1817063.25</v>
      </c>
      <c r="E612" s="45">
        <v>2495152.5499999998</v>
      </c>
      <c r="F612" s="45">
        <v>2594958.65</v>
      </c>
      <c r="G612" s="16"/>
      <c r="H612" s="16"/>
      <c r="I612" s="16"/>
      <c r="J612" s="16"/>
    </row>
    <row r="613" spans="1:10" s="2" customFormat="1" ht="12.75" x14ac:dyDescent="0.2">
      <c r="A613" s="52" t="s">
        <v>169</v>
      </c>
      <c r="B613" s="64" t="s">
        <v>177</v>
      </c>
      <c r="C613" s="44">
        <v>800</v>
      </c>
      <c r="D613" s="50">
        <f>D614</f>
        <v>139100</v>
      </c>
      <c r="E613" s="50">
        <f>E614</f>
        <v>139100</v>
      </c>
      <c r="F613" s="50">
        <f>F614</f>
        <v>139100</v>
      </c>
      <c r="G613" s="16"/>
      <c r="H613" s="16"/>
      <c r="I613" s="16"/>
      <c r="J613" s="16"/>
    </row>
    <row r="614" spans="1:10" s="2" customFormat="1" ht="12.75" x14ac:dyDescent="0.2">
      <c r="A614" s="42" t="s">
        <v>159</v>
      </c>
      <c r="B614" s="64" t="s">
        <v>177</v>
      </c>
      <c r="C614" s="44">
        <v>850</v>
      </c>
      <c r="D614" s="50">
        <v>139100</v>
      </c>
      <c r="E614" s="50">
        <v>139100</v>
      </c>
      <c r="F614" s="50">
        <v>139100</v>
      </c>
      <c r="G614" s="16"/>
      <c r="H614" s="16"/>
      <c r="I614" s="16"/>
      <c r="J614" s="16"/>
    </row>
    <row r="615" spans="1:10" s="5" customFormat="1" ht="30" customHeight="1" x14ac:dyDescent="0.2">
      <c r="A615" s="56" t="s">
        <v>140</v>
      </c>
      <c r="B615" s="57" t="s">
        <v>141</v>
      </c>
      <c r="C615" s="105"/>
      <c r="D615" s="59">
        <f>SUM(D616)</f>
        <v>2620813.38</v>
      </c>
      <c r="E615" s="59">
        <f>SUM(E616)</f>
        <v>2647021.5099999998</v>
      </c>
      <c r="F615" s="59">
        <f>SUM(F616)</f>
        <v>2673491.73</v>
      </c>
      <c r="G615" s="15"/>
      <c r="H615" s="15"/>
      <c r="I615" s="15"/>
      <c r="J615" s="15"/>
    </row>
    <row r="616" spans="1:10" s="2" customFormat="1" ht="25.5" x14ac:dyDescent="0.2">
      <c r="A616" s="42" t="s">
        <v>178</v>
      </c>
      <c r="B616" s="160" t="s">
        <v>179</v>
      </c>
      <c r="C616" s="161"/>
      <c r="D616" s="41">
        <f>D619</f>
        <v>2620813.38</v>
      </c>
      <c r="E616" s="41">
        <f>E619</f>
        <v>2647021.5099999998</v>
      </c>
      <c r="F616" s="41">
        <f>F619</f>
        <v>2673491.73</v>
      </c>
      <c r="G616" s="16"/>
      <c r="H616" s="16"/>
      <c r="I616" s="16"/>
      <c r="J616" s="16"/>
    </row>
    <row r="617" spans="1:10" s="2" customFormat="1" ht="12.75" x14ac:dyDescent="0.2">
      <c r="A617" s="42" t="s">
        <v>84</v>
      </c>
      <c r="B617" s="160" t="s">
        <v>179</v>
      </c>
      <c r="C617" s="104">
        <v>300</v>
      </c>
      <c r="D617" s="45">
        <f t="shared" ref="D617:F618" si="216">D618</f>
        <v>2620813.38</v>
      </c>
      <c r="E617" s="45">
        <f t="shared" si="216"/>
        <v>2647021.5099999998</v>
      </c>
      <c r="F617" s="45">
        <f t="shared" si="216"/>
        <v>2673491.73</v>
      </c>
      <c r="G617" s="16"/>
      <c r="H617" s="16"/>
      <c r="I617" s="16"/>
      <c r="J617" s="16"/>
    </row>
    <row r="618" spans="1:10" s="2" customFormat="1" ht="12.75" x14ac:dyDescent="0.2">
      <c r="A618" s="42" t="s">
        <v>180</v>
      </c>
      <c r="B618" s="160" t="s">
        <v>179</v>
      </c>
      <c r="C618" s="104">
        <v>310</v>
      </c>
      <c r="D618" s="45">
        <f t="shared" si="216"/>
        <v>2620813.38</v>
      </c>
      <c r="E618" s="45">
        <f t="shared" si="216"/>
        <v>2647021.5099999998</v>
      </c>
      <c r="F618" s="45">
        <f t="shared" si="216"/>
        <v>2673491.73</v>
      </c>
      <c r="G618" s="16"/>
      <c r="H618" s="16"/>
      <c r="I618" s="16"/>
      <c r="J618" s="16"/>
    </row>
    <row r="619" spans="1:10" s="2" customFormat="1" ht="12.75" x14ac:dyDescent="0.2">
      <c r="A619" s="42" t="s">
        <v>181</v>
      </c>
      <c r="B619" s="160" t="s">
        <v>179</v>
      </c>
      <c r="C619" s="104">
        <v>312</v>
      </c>
      <c r="D619" s="45">
        <v>2620813.38</v>
      </c>
      <c r="E619" s="45">
        <v>2647021.5099999998</v>
      </c>
      <c r="F619" s="45">
        <v>2673491.73</v>
      </c>
      <c r="G619" s="16"/>
      <c r="H619" s="16"/>
      <c r="I619" s="16"/>
      <c r="J619" s="16"/>
    </row>
    <row r="620" spans="1:10" s="5" customFormat="1" ht="46.5" customHeight="1" x14ac:dyDescent="0.2">
      <c r="A620" s="114" t="s">
        <v>142</v>
      </c>
      <c r="B620" s="57" t="s">
        <v>143</v>
      </c>
      <c r="C620" s="105"/>
      <c r="D620" s="59">
        <f>D621+D667</f>
        <v>45867922.939999998</v>
      </c>
      <c r="E620" s="59">
        <f t="shared" ref="E620:F620" si="217">E621+E667</f>
        <v>21193430.059999999</v>
      </c>
      <c r="F620" s="59">
        <f t="shared" si="217"/>
        <v>10275017.640000001</v>
      </c>
      <c r="G620" s="15"/>
      <c r="H620" s="15"/>
      <c r="I620" s="15"/>
      <c r="J620" s="15"/>
    </row>
    <row r="621" spans="1:10" s="2" customFormat="1" ht="29.25" customHeight="1" x14ac:dyDescent="0.2">
      <c r="A621" s="42" t="s">
        <v>182</v>
      </c>
      <c r="B621" s="43" t="s">
        <v>183</v>
      </c>
      <c r="C621" s="44"/>
      <c r="D621" s="45">
        <f>D622+D630+D634+D642+D647+D651</f>
        <v>22680998.580000002</v>
      </c>
      <c r="E621" s="45">
        <f t="shared" ref="E621:F621" si="218">E622+E630+E634+E642+E647+E651</f>
        <v>21193430.059999999</v>
      </c>
      <c r="F621" s="45">
        <f t="shared" si="218"/>
        <v>10275017.640000001</v>
      </c>
      <c r="G621" s="16"/>
      <c r="H621" s="16"/>
      <c r="I621" s="16"/>
      <c r="J621" s="16"/>
    </row>
    <row r="622" spans="1:10" s="2" customFormat="1" ht="25.5" x14ac:dyDescent="0.2">
      <c r="A622" s="42" t="s">
        <v>184</v>
      </c>
      <c r="B622" s="43" t="s">
        <v>185</v>
      </c>
      <c r="C622" s="44"/>
      <c r="D622" s="45">
        <f>D623+D627</f>
        <v>2320948.3199999998</v>
      </c>
      <c r="E622" s="45">
        <f t="shared" ref="E622:F622" si="219">E623+E627</f>
        <v>2172643.46</v>
      </c>
      <c r="F622" s="45">
        <f t="shared" si="219"/>
        <v>2172643.46</v>
      </c>
      <c r="G622" s="16"/>
      <c r="H622" s="16"/>
      <c r="I622" s="16"/>
      <c r="J622" s="16"/>
    </row>
    <row r="623" spans="1:10" s="2" customFormat="1" ht="25.5" x14ac:dyDescent="0.2">
      <c r="A623" s="42" t="s">
        <v>80</v>
      </c>
      <c r="B623" s="43" t="s">
        <v>185</v>
      </c>
      <c r="C623" s="44">
        <v>200</v>
      </c>
      <c r="D623" s="45">
        <f>D624</f>
        <v>2254603.75</v>
      </c>
      <c r="E623" s="45">
        <f>E624</f>
        <v>2172643.46</v>
      </c>
      <c r="F623" s="45">
        <f>F624</f>
        <v>2172643.46</v>
      </c>
      <c r="G623" s="16"/>
      <c r="H623" s="16"/>
      <c r="I623" s="16"/>
      <c r="J623" s="16"/>
    </row>
    <row r="624" spans="1:10" s="2" customFormat="1" ht="25.5" x14ac:dyDescent="0.2">
      <c r="A624" s="42" t="s">
        <v>62</v>
      </c>
      <c r="B624" s="43" t="s">
        <v>185</v>
      </c>
      <c r="C624" s="44">
        <v>240</v>
      </c>
      <c r="D624" s="45">
        <f>D625+D626</f>
        <v>2254603.75</v>
      </c>
      <c r="E624" s="45">
        <f>E625+E626</f>
        <v>2172643.46</v>
      </c>
      <c r="F624" s="45">
        <f>F625+F626</f>
        <v>2172643.46</v>
      </c>
      <c r="G624" s="16"/>
      <c r="H624" s="16"/>
      <c r="I624" s="16"/>
      <c r="J624" s="16"/>
    </row>
    <row r="625" spans="1:10" s="2" customFormat="1" ht="12.75" x14ac:dyDescent="0.2">
      <c r="A625" s="42" t="s">
        <v>21</v>
      </c>
      <c r="B625" s="43" t="s">
        <v>185</v>
      </c>
      <c r="C625" s="44">
        <v>244</v>
      </c>
      <c r="D625" s="50">
        <f>808562.59</f>
        <v>808562.59</v>
      </c>
      <c r="E625" s="45">
        <v>808562.59</v>
      </c>
      <c r="F625" s="45">
        <v>808562.59</v>
      </c>
      <c r="G625" s="16"/>
      <c r="H625" s="16"/>
      <c r="I625" s="16"/>
      <c r="J625" s="16"/>
    </row>
    <row r="626" spans="1:10" s="2" customFormat="1" ht="12.75" x14ac:dyDescent="0.2">
      <c r="A626" s="42" t="s">
        <v>92</v>
      </c>
      <c r="B626" s="43" t="s">
        <v>185</v>
      </c>
      <c r="C626" s="44">
        <v>247</v>
      </c>
      <c r="D626" s="45">
        <f>1364080.87+81960.29</f>
        <v>1446041.1600000001</v>
      </c>
      <c r="E626" s="45">
        <v>1364080.87</v>
      </c>
      <c r="F626" s="45">
        <v>1364080.87</v>
      </c>
      <c r="G626" s="16"/>
      <c r="H626" s="16"/>
      <c r="I626" s="16"/>
      <c r="J626" s="16"/>
    </row>
    <row r="627" spans="1:10" s="2" customFormat="1" ht="25.5" x14ac:dyDescent="0.2">
      <c r="A627" s="42" t="s">
        <v>78</v>
      </c>
      <c r="B627" s="43" t="s">
        <v>185</v>
      </c>
      <c r="C627" s="44">
        <v>400</v>
      </c>
      <c r="D627" s="45">
        <f>D628</f>
        <v>66344.570000000007</v>
      </c>
      <c r="E627" s="45">
        <f t="shared" ref="E627" si="220">E628</f>
        <v>0</v>
      </c>
      <c r="F627" s="45">
        <f t="shared" ref="F627" si="221">F628</f>
        <v>0</v>
      </c>
      <c r="G627" s="16"/>
      <c r="H627" s="16"/>
      <c r="I627" s="16"/>
      <c r="J627" s="16"/>
    </row>
    <row r="628" spans="1:10" s="2" customFormat="1" ht="12.75" x14ac:dyDescent="0.2">
      <c r="A628" s="42" t="s">
        <v>79</v>
      </c>
      <c r="B628" s="43" t="s">
        <v>185</v>
      </c>
      <c r="C628" s="44">
        <v>410</v>
      </c>
      <c r="D628" s="45">
        <f>D629</f>
        <v>66344.570000000007</v>
      </c>
      <c r="E628" s="45">
        <f t="shared" ref="E628:F628" si="222">E629</f>
        <v>0</v>
      </c>
      <c r="F628" s="45">
        <f t="shared" si="222"/>
        <v>0</v>
      </c>
      <c r="G628" s="16"/>
      <c r="H628" s="16"/>
      <c r="I628" s="16"/>
      <c r="J628" s="16"/>
    </row>
    <row r="629" spans="1:10" s="2" customFormat="1" ht="25.5" x14ac:dyDescent="0.2">
      <c r="A629" s="42" t="s">
        <v>102</v>
      </c>
      <c r="B629" s="43" t="s">
        <v>185</v>
      </c>
      <c r="C629" s="44">
        <v>414</v>
      </c>
      <c r="D629" s="45">
        <v>66344.570000000007</v>
      </c>
      <c r="E629" s="45"/>
      <c r="F629" s="45"/>
      <c r="G629" s="16"/>
      <c r="H629" s="16"/>
      <c r="I629" s="16"/>
      <c r="J629" s="16"/>
    </row>
    <row r="630" spans="1:10" s="2" customFormat="1" ht="25.5" x14ac:dyDescent="0.2">
      <c r="A630" s="42" t="s">
        <v>282</v>
      </c>
      <c r="B630" s="43" t="s">
        <v>405</v>
      </c>
      <c r="C630" s="44"/>
      <c r="D630" s="45">
        <f>D631</f>
        <v>12340944</v>
      </c>
      <c r="E630" s="45">
        <f>E631</f>
        <v>12340944</v>
      </c>
      <c r="F630" s="45">
        <f>F631</f>
        <v>1340944</v>
      </c>
      <c r="G630" s="16"/>
      <c r="H630" s="16"/>
      <c r="I630" s="16"/>
      <c r="J630" s="16"/>
    </row>
    <row r="631" spans="1:10" s="2" customFormat="1" ht="25.5" x14ac:dyDescent="0.2">
      <c r="A631" s="42" t="s">
        <v>80</v>
      </c>
      <c r="B631" s="43" t="s">
        <v>405</v>
      </c>
      <c r="C631" s="44">
        <v>200</v>
      </c>
      <c r="D631" s="45">
        <f t="shared" ref="D631:F632" si="223">D632</f>
        <v>12340944</v>
      </c>
      <c r="E631" s="45">
        <f t="shared" si="223"/>
        <v>12340944</v>
      </c>
      <c r="F631" s="45">
        <f t="shared" si="223"/>
        <v>1340944</v>
      </c>
      <c r="G631" s="16"/>
      <c r="H631" s="16"/>
      <c r="I631" s="16"/>
      <c r="J631" s="16"/>
    </row>
    <row r="632" spans="1:10" s="2" customFormat="1" ht="33.75" customHeight="1" x14ac:dyDescent="0.2">
      <c r="A632" s="42" t="s">
        <v>62</v>
      </c>
      <c r="B632" s="43" t="s">
        <v>405</v>
      </c>
      <c r="C632" s="44">
        <v>240</v>
      </c>
      <c r="D632" s="45">
        <f t="shared" si="223"/>
        <v>12340944</v>
      </c>
      <c r="E632" s="45">
        <f t="shared" si="223"/>
        <v>12340944</v>
      </c>
      <c r="F632" s="45">
        <f t="shared" si="223"/>
        <v>1340944</v>
      </c>
      <c r="G632" s="16"/>
      <c r="H632" s="16"/>
      <c r="I632" s="16"/>
      <c r="J632" s="16"/>
    </row>
    <row r="633" spans="1:10" s="2" customFormat="1" ht="20.25" customHeight="1" x14ac:dyDescent="0.2">
      <c r="A633" s="42" t="s">
        <v>96</v>
      </c>
      <c r="B633" s="43" t="s">
        <v>405</v>
      </c>
      <c r="C633" s="44">
        <v>244</v>
      </c>
      <c r="D633" s="45">
        <v>12340944</v>
      </c>
      <c r="E633" s="45">
        <v>12340944</v>
      </c>
      <c r="F633" s="45">
        <v>1340944</v>
      </c>
      <c r="G633" s="16"/>
      <c r="H633" s="16"/>
      <c r="I633" s="16"/>
      <c r="J633" s="16"/>
    </row>
    <row r="634" spans="1:10" s="2" customFormat="1" ht="25.5" x14ac:dyDescent="0.2">
      <c r="A634" s="42" t="s">
        <v>407</v>
      </c>
      <c r="B634" s="43" t="s">
        <v>406</v>
      </c>
      <c r="C634" s="44"/>
      <c r="D634" s="45">
        <f>D635+D640</f>
        <v>4552923.99</v>
      </c>
      <c r="E634" s="45">
        <f t="shared" ref="E634:F634" si="224">E635+E640</f>
        <v>3507103.7</v>
      </c>
      <c r="F634" s="45">
        <f t="shared" si="224"/>
        <v>3588691.2800000003</v>
      </c>
      <c r="G634" s="16"/>
      <c r="H634" s="16"/>
      <c r="I634" s="16"/>
      <c r="J634" s="16"/>
    </row>
    <row r="635" spans="1:10" s="2" customFormat="1" ht="25.5" x14ac:dyDescent="0.2">
      <c r="A635" s="42" t="s">
        <v>80</v>
      </c>
      <c r="B635" s="43" t="s">
        <v>406</v>
      </c>
      <c r="C635" s="44">
        <v>200</v>
      </c>
      <c r="D635" s="45">
        <f>D636</f>
        <v>4532923.99</v>
      </c>
      <c r="E635" s="45">
        <f t="shared" ref="E635:F635" si="225">E636</f>
        <v>3487103.7</v>
      </c>
      <c r="F635" s="45">
        <f t="shared" si="225"/>
        <v>3568691.2800000003</v>
      </c>
      <c r="G635" s="16"/>
      <c r="H635" s="16"/>
      <c r="I635" s="16"/>
      <c r="J635" s="16"/>
    </row>
    <row r="636" spans="1:10" s="2" customFormat="1" ht="33.75" customHeight="1" x14ac:dyDescent="0.2">
      <c r="A636" s="42" t="s">
        <v>62</v>
      </c>
      <c r="B636" s="43" t="s">
        <v>406</v>
      </c>
      <c r="C636" s="44">
        <v>240</v>
      </c>
      <c r="D636" s="45">
        <f>D638+D639+D637</f>
        <v>4532923.99</v>
      </c>
      <c r="E636" s="45">
        <f t="shared" ref="E636:F636" si="226">E638+E639+E637</f>
        <v>3487103.7</v>
      </c>
      <c r="F636" s="45">
        <f t="shared" si="226"/>
        <v>3568691.2800000003</v>
      </c>
      <c r="G636" s="16"/>
      <c r="H636" s="16"/>
      <c r="I636" s="16"/>
      <c r="J636" s="16"/>
    </row>
    <row r="637" spans="1:10" s="2" customFormat="1" ht="33.75" customHeight="1" x14ac:dyDescent="0.2">
      <c r="A637" s="42" t="s">
        <v>388</v>
      </c>
      <c r="B637" s="43" t="s">
        <v>406</v>
      </c>
      <c r="C637" s="44">
        <v>243</v>
      </c>
      <c r="D637" s="45">
        <v>483400</v>
      </c>
      <c r="E637" s="45"/>
      <c r="F637" s="45"/>
      <c r="G637" s="16"/>
      <c r="H637" s="16"/>
      <c r="I637" s="16"/>
      <c r="J637" s="16"/>
    </row>
    <row r="638" spans="1:10" s="2" customFormat="1" ht="20.25" customHeight="1" x14ac:dyDescent="0.2">
      <c r="A638" s="42" t="s">
        <v>96</v>
      </c>
      <c r="B638" s="43" t="s">
        <v>406</v>
      </c>
      <c r="C638" s="44">
        <v>244</v>
      </c>
      <c r="D638" s="45">
        <v>1447414.1</v>
      </c>
      <c r="E638" s="45">
        <v>1447414.1</v>
      </c>
      <c r="F638" s="45">
        <v>1447414.1</v>
      </c>
      <c r="G638" s="16"/>
      <c r="H638" s="16"/>
      <c r="I638" s="16"/>
      <c r="J638" s="16"/>
    </row>
    <row r="639" spans="1:10" s="2" customFormat="1" ht="20.25" customHeight="1" x14ac:dyDescent="0.2">
      <c r="A639" s="42" t="s">
        <v>92</v>
      </c>
      <c r="B639" s="43" t="s">
        <v>406</v>
      </c>
      <c r="C639" s="44">
        <v>247</v>
      </c>
      <c r="D639" s="132">
        <f>2019988+582121.89</f>
        <v>2602109.89</v>
      </c>
      <c r="E639" s="132">
        <v>2039689.6</v>
      </c>
      <c r="F639" s="132">
        <v>2121277.1800000002</v>
      </c>
      <c r="G639" s="16"/>
      <c r="H639" s="16"/>
      <c r="I639" s="16"/>
      <c r="J639" s="16"/>
    </row>
    <row r="640" spans="1:10" s="2" customFormat="1" ht="20.25" customHeight="1" x14ac:dyDescent="0.2">
      <c r="A640" s="52" t="s">
        <v>169</v>
      </c>
      <c r="B640" s="43" t="s">
        <v>406</v>
      </c>
      <c r="C640" s="44">
        <v>800</v>
      </c>
      <c r="D640" s="45">
        <f>D641</f>
        <v>20000</v>
      </c>
      <c r="E640" s="45">
        <f t="shared" ref="E640:F640" si="227">E641</f>
        <v>20000</v>
      </c>
      <c r="F640" s="45">
        <f t="shared" si="227"/>
        <v>20000</v>
      </c>
      <c r="G640" s="16"/>
      <c r="H640" s="16"/>
      <c r="I640" s="16"/>
      <c r="J640" s="16"/>
    </row>
    <row r="641" spans="1:10" s="2" customFormat="1" ht="20.25" customHeight="1" x14ac:dyDescent="0.2">
      <c r="A641" s="42" t="s">
        <v>186</v>
      </c>
      <c r="B641" s="43" t="s">
        <v>406</v>
      </c>
      <c r="C641" s="44">
        <v>830</v>
      </c>
      <c r="D641" s="132">
        <v>20000</v>
      </c>
      <c r="E641" s="132">
        <v>20000</v>
      </c>
      <c r="F641" s="132">
        <v>20000</v>
      </c>
      <c r="G641" s="16"/>
      <c r="H641" s="16"/>
      <c r="I641" s="16"/>
      <c r="J641" s="16"/>
    </row>
    <row r="642" spans="1:10" s="2" customFormat="1" ht="20.25" customHeight="1" x14ac:dyDescent="0.2">
      <c r="A642" s="42" t="s">
        <v>283</v>
      </c>
      <c r="B642" s="43" t="s">
        <v>284</v>
      </c>
      <c r="C642" s="44"/>
      <c r="D642" s="45">
        <f>D643</f>
        <v>902747.84000000008</v>
      </c>
      <c r="E642" s="45">
        <f t="shared" ref="E642:F642" si="228">E643</f>
        <v>531533.9</v>
      </c>
      <c r="F642" s="45">
        <f t="shared" si="228"/>
        <v>531533.9</v>
      </c>
      <c r="G642" s="16"/>
      <c r="H642" s="16"/>
      <c r="I642" s="16"/>
      <c r="J642" s="16"/>
    </row>
    <row r="643" spans="1:10" s="2" customFormat="1" ht="25.5" x14ac:dyDescent="0.2">
      <c r="A643" s="42" t="s">
        <v>80</v>
      </c>
      <c r="B643" s="43" t="s">
        <v>284</v>
      </c>
      <c r="C643" s="44">
        <v>200</v>
      </c>
      <c r="D643" s="45">
        <f>D644</f>
        <v>902747.84000000008</v>
      </c>
      <c r="E643" s="45">
        <f>E644</f>
        <v>531533.9</v>
      </c>
      <c r="F643" s="45">
        <f>F644</f>
        <v>531533.9</v>
      </c>
      <c r="G643" s="16"/>
      <c r="H643" s="16"/>
      <c r="I643" s="16"/>
      <c r="J643" s="16"/>
    </row>
    <row r="644" spans="1:10" s="2" customFormat="1" ht="32.25" customHeight="1" x14ac:dyDescent="0.2">
      <c r="A644" s="42" t="s">
        <v>62</v>
      </c>
      <c r="B644" s="43" t="s">
        <v>284</v>
      </c>
      <c r="C644" s="44">
        <v>240</v>
      </c>
      <c r="D644" s="45">
        <f>D645+D646</f>
        <v>902747.84000000008</v>
      </c>
      <c r="E644" s="45">
        <f t="shared" ref="E644:F644" si="229">E645+E646</f>
        <v>531533.9</v>
      </c>
      <c r="F644" s="45">
        <f t="shared" si="229"/>
        <v>531533.9</v>
      </c>
      <c r="G644" s="16"/>
      <c r="H644" s="16"/>
      <c r="I644" s="16"/>
      <c r="J644" s="16"/>
    </row>
    <row r="645" spans="1:10" s="16" customFormat="1" ht="32.25" customHeight="1" x14ac:dyDescent="0.2">
      <c r="A645" s="42" t="s">
        <v>388</v>
      </c>
      <c r="B645" s="43" t="s">
        <v>284</v>
      </c>
      <c r="C645" s="44">
        <v>243</v>
      </c>
      <c r="D645" s="45">
        <v>326213.94</v>
      </c>
      <c r="E645" s="45"/>
      <c r="F645" s="45"/>
    </row>
    <row r="646" spans="1:10" s="2" customFormat="1" ht="20.25" customHeight="1" x14ac:dyDescent="0.2">
      <c r="A646" s="52" t="s">
        <v>21</v>
      </c>
      <c r="B646" s="43" t="s">
        <v>284</v>
      </c>
      <c r="C646" s="44">
        <v>244</v>
      </c>
      <c r="D646" s="50">
        <v>576533.9</v>
      </c>
      <c r="E646" s="50">
        <v>531533.9</v>
      </c>
      <c r="F646" s="50">
        <v>531533.9</v>
      </c>
      <c r="G646" s="16"/>
      <c r="H646" s="16"/>
      <c r="I646" s="16"/>
      <c r="J646" s="16"/>
    </row>
    <row r="647" spans="1:10" s="12" customFormat="1" ht="40.5" customHeight="1" x14ac:dyDescent="0.2">
      <c r="A647" s="84" t="s">
        <v>408</v>
      </c>
      <c r="B647" s="43" t="s">
        <v>300</v>
      </c>
      <c r="C647" s="44"/>
      <c r="D647" s="45">
        <f t="shared" ref="D647:D648" si="230">D648</f>
        <v>750205</v>
      </c>
      <c r="E647" s="45">
        <f t="shared" ref="E647:E648" si="231">E648</f>
        <v>750205</v>
      </c>
      <c r="F647" s="45">
        <f t="shared" ref="F647:F648" si="232">F648</f>
        <v>750205</v>
      </c>
      <c r="G647" s="15"/>
      <c r="H647" s="15"/>
      <c r="I647" s="15"/>
      <c r="J647" s="15"/>
    </row>
    <row r="648" spans="1:10" s="12" customFormat="1" ht="25.5" x14ac:dyDescent="0.2">
      <c r="A648" s="42" t="s">
        <v>80</v>
      </c>
      <c r="B648" s="43" t="s">
        <v>300</v>
      </c>
      <c r="C648" s="44">
        <v>200</v>
      </c>
      <c r="D648" s="45">
        <f t="shared" si="230"/>
        <v>750205</v>
      </c>
      <c r="E648" s="45">
        <f t="shared" si="231"/>
        <v>750205</v>
      </c>
      <c r="F648" s="45">
        <f t="shared" si="232"/>
        <v>750205</v>
      </c>
      <c r="G648" s="15"/>
      <c r="H648" s="15"/>
      <c r="I648" s="15"/>
      <c r="J648" s="15"/>
    </row>
    <row r="649" spans="1:10" s="12" customFormat="1" ht="31.5" customHeight="1" x14ac:dyDescent="0.2">
      <c r="A649" s="42" t="s">
        <v>62</v>
      </c>
      <c r="B649" s="43" t="s">
        <v>300</v>
      </c>
      <c r="C649" s="44">
        <v>240</v>
      </c>
      <c r="D649" s="45">
        <f>D650</f>
        <v>750205</v>
      </c>
      <c r="E649" s="45">
        <f t="shared" ref="E649:F649" si="233">E650</f>
        <v>750205</v>
      </c>
      <c r="F649" s="45">
        <f t="shared" si="233"/>
        <v>750205</v>
      </c>
      <c r="G649" s="15"/>
      <c r="H649" s="15"/>
      <c r="I649" s="15"/>
      <c r="J649" s="15"/>
    </row>
    <row r="650" spans="1:10" s="12" customFormat="1" ht="12.75" x14ac:dyDescent="0.2">
      <c r="A650" s="42" t="s">
        <v>96</v>
      </c>
      <c r="B650" s="43" t="s">
        <v>300</v>
      </c>
      <c r="C650" s="44">
        <v>244</v>
      </c>
      <c r="D650" s="45">
        <f>160205+590000-402646.77+402646.77</f>
        <v>750205</v>
      </c>
      <c r="E650" s="45">
        <f t="shared" ref="E650:F650" si="234">160205+590000</f>
        <v>750205</v>
      </c>
      <c r="F650" s="45">
        <f t="shared" si="234"/>
        <v>750205</v>
      </c>
      <c r="G650" s="15"/>
      <c r="H650" s="15"/>
      <c r="I650" s="15"/>
      <c r="J650" s="15"/>
    </row>
    <row r="651" spans="1:10" s="2" customFormat="1" ht="20.25" customHeight="1" x14ac:dyDescent="0.2">
      <c r="A651" s="42" t="s">
        <v>384</v>
      </c>
      <c r="B651" s="43" t="s">
        <v>285</v>
      </c>
      <c r="C651" s="44"/>
      <c r="D651" s="45">
        <f>D652+D659+D663+D655</f>
        <v>1813229.43</v>
      </c>
      <c r="E651" s="45">
        <f t="shared" ref="E651:F651" si="235">E652+E659+E663</f>
        <v>1891000</v>
      </c>
      <c r="F651" s="45">
        <f t="shared" si="235"/>
        <v>1891000</v>
      </c>
      <c r="G651" s="21"/>
      <c r="H651" s="16"/>
      <c r="I651" s="16"/>
      <c r="J651" s="16"/>
    </row>
    <row r="652" spans="1:10" s="2" customFormat="1" ht="25.5" x14ac:dyDescent="0.2">
      <c r="A652" s="42" t="s">
        <v>80</v>
      </c>
      <c r="B652" s="43" t="s">
        <v>285</v>
      </c>
      <c r="C652" s="44">
        <v>200</v>
      </c>
      <c r="D652" s="45">
        <f t="shared" ref="D652:F653" si="236">D653</f>
        <v>272229.43</v>
      </c>
      <c r="E652" s="45">
        <f t="shared" si="236"/>
        <v>350000</v>
      </c>
      <c r="F652" s="45">
        <f t="shared" si="236"/>
        <v>350000</v>
      </c>
      <c r="G652" s="16"/>
      <c r="H652" s="16"/>
      <c r="I652" s="16"/>
      <c r="J652" s="16"/>
    </row>
    <row r="653" spans="1:10" s="2" customFormat="1" ht="25.5" x14ac:dyDescent="0.2">
      <c r="A653" s="42" t="s">
        <v>62</v>
      </c>
      <c r="B653" s="43" t="s">
        <v>285</v>
      </c>
      <c r="C653" s="44">
        <v>240</v>
      </c>
      <c r="D653" s="45">
        <f t="shared" si="236"/>
        <v>272229.43</v>
      </c>
      <c r="E653" s="45">
        <f t="shared" si="236"/>
        <v>350000</v>
      </c>
      <c r="F653" s="45">
        <f t="shared" si="236"/>
        <v>350000</v>
      </c>
      <c r="G653" s="16"/>
      <c r="H653" s="16"/>
      <c r="I653" s="16"/>
      <c r="J653" s="16"/>
    </row>
    <row r="654" spans="1:10" s="2" customFormat="1" ht="20.25" customHeight="1" x14ac:dyDescent="0.2">
      <c r="A654" s="42" t="s">
        <v>21</v>
      </c>
      <c r="B654" s="43" t="s">
        <v>285</v>
      </c>
      <c r="C654" s="44">
        <v>244</v>
      </c>
      <c r="D654" s="50">
        <f>350000-11426-66344.57</f>
        <v>272229.43</v>
      </c>
      <c r="E654" s="50">
        <v>350000</v>
      </c>
      <c r="F654" s="50">
        <v>350000</v>
      </c>
      <c r="G654" s="16"/>
      <c r="H654" s="16"/>
      <c r="I654" s="16"/>
      <c r="J654" s="16"/>
    </row>
    <row r="655" spans="1:10" s="9" customFormat="1" ht="38.25" x14ac:dyDescent="0.2">
      <c r="A655" s="42" t="s">
        <v>409</v>
      </c>
      <c r="B655" s="43" t="s">
        <v>410</v>
      </c>
      <c r="C655" s="147"/>
      <c r="D655" s="45">
        <f>D656</f>
        <v>0</v>
      </c>
      <c r="E655" s="45">
        <f t="shared" ref="E655:F657" si="237">E656</f>
        <v>0</v>
      </c>
      <c r="F655" s="45">
        <f t="shared" si="237"/>
        <v>0</v>
      </c>
      <c r="G655" s="16"/>
      <c r="H655" s="16"/>
      <c r="I655" s="16"/>
      <c r="J655" s="16"/>
    </row>
    <row r="656" spans="1:10" s="9" customFormat="1" ht="12.75" x14ac:dyDescent="0.2">
      <c r="A656" s="42" t="s">
        <v>169</v>
      </c>
      <c r="B656" s="43" t="s">
        <v>410</v>
      </c>
      <c r="C656" s="147" t="s">
        <v>191</v>
      </c>
      <c r="D656" s="45">
        <f>D657</f>
        <v>0</v>
      </c>
      <c r="E656" s="45">
        <f t="shared" si="237"/>
        <v>0</v>
      </c>
      <c r="F656" s="45">
        <f t="shared" si="237"/>
        <v>0</v>
      </c>
      <c r="G656" s="16"/>
      <c r="H656" s="16"/>
      <c r="I656" s="16"/>
      <c r="J656" s="16"/>
    </row>
    <row r="657" spans="1:10" s="9" customFormat="1" ht="38.25" x14ac:dyDescent="0.2">
      <c r="A657" s="42" t="s">
        <v>206</v>
      </c>
      <c r="B657" s="43" t="s">
        <v>410</v>
      </c>
      <c r="C657" s="147" t="s">
        <v>207</v>
      </c>
      <c r="D657" s="45">
        <f>D658</f>
        <v>0</v>
      </c>
      <c r="E657" s="45">
        <f t="shared" si="237"/>
        <v>0</v>
      </c>
      <c r="F657" s="45">
        <f t="shared" si="237"/>
        <v>0</v>
      </c>
      <c r="G657" s="16"/>
      <c r="H657" s="16"/>
      <c r="I657" s="16"/>
      <c r="J657" s="16"/>
    </row>
    <row r="658" spans="1:10" s="9" customFormat="1" ht="51" x14ac:dyDescent="0.2">
      <c r="A658" s="42" t="s">
        <v>208</v>
      </c>
      <c r="B658" s="43" t="s">
        <v>410</v>
      </c>
      <c r="C658" s="147" t="s">
        <v>209</v>
      </c>
      <c r="D658" s="45">
        <v>0</v>
      </c>
      <c r="E658" s="45">
        <v>0</v>
      </c>
      <c r="F658" s="45">
        <v>0</v>
      </c>
      <c r="G658" s="16"/>
      <c r="H658" s="16"/>
      <c r="I658" s="16"/>
      <c r="J658" s="16"/>
    </row>
    <row r="659" spans="1:10" s="9" customFormat="1" ht="49.5" customHeight="1" x14ac:dyDescent="0.2">
      <c r="A659" s="84" t="s">
        <v>413</v>
      </c>
      <c r="B659" s="43" t="s">
        <v>378</v>
      </c>
      <c r="C659" s="147"/>
      <c r="D659" s="45">
        <f>D660</f>
        <v>1247880</v>
      </c>
      <c r="E659" s="45">
        <f t="shared" ref="E659:F659" si="238">E660</f>
        <v>1247880</v>
      </c>
      <c r="F659" s="45">
        <f t="shared" si="238"/>
        <v>1247880</v>
      </c>
      <c r="G659" s="16"/>
      <c r="H659" s="16"/>
      <c r="I659" s="16"/>
      <c r="J659" s="16"/>
    </row>
    <row r="660" spans="1:10" s="9" customFormat="1" ht="12.75" x14ac:dyDescent="0.2">
      <c r="A660" s="42" t="s">
        <v>169</v>
      </c>
      <c r="B660" s="43" t="s">
        <v>378</v>
      </c>
      <c r="C660" s="147" t="s">
        <v>191</v>
      </c>
      <c r="D660" s="45">
        <f>D661</f>
        <v>1247880</v>
      </c>
      <c r="E660" s="45">
        <f t="shared" ref="E660:F660" si="239">E661</f>
        <v>1247880</v>
      </c>
      <c r="F660" s="45">
        <f t="shared" si="239"/>
        <v>1247880</v>
      </c>
      <c r="G660" s="16"/>
      <c r="H660" s="16"/>
      <c r="I660" s="16"/>
      <c r="J660" s="16"/>
    </row>
    <row r="661" spans="1:10" s="9" customFormat="1" ht="38.25" x14ac:dyDescent="0.2">
      <c r="A661" s="42" t="s">
        <v>206</v>
      </c>
      <c r="B661" s="43" t="s">
        <v>378</v>
      </c>
      <c r="C661" s="147" t="s">
        <v>207</v>
      </c>
      <c r="D661" s="45">
        <f>D662</f>
        <v>1247880</v>
      </c>
      <c r="E661" s="45">
        <f t="shared" ref="E661:F661" si="240">E662</f>
        <v>1247880</v>
      </c>
      <c r="F661" s="45">
        <f t="shared" si="240"/>
        <v>1247880</v>
      </c>
      <c r="G661" s="16"/>
      <c r="H661" s="16"/>
      <c r="I661" s="16"/>
      <c r="J661" s="16"/>
    </row>
    <row r="662" spans="1:10" s="9" customFormat="1" ht="51" x14ac:dyDescent="0.2">
      <c r="A662" s="42" t="s">
        <v>208</v>
      </c>
      <c r="B662" s="43" t="s">
        <v>378</v>
      </c>
      <c r="C662" s="147" t="s">
        <v>209</v>
      </c>
      <c r="D662" s="45">
        <v>1247880</v>
      </c>
      <c r="E662" s="45">
        <v>1247880</v>
      </c>
      <c r="F662" s="45">
        <v>1247880</v>
      </c>
      <c r="G662" s="16"/>
      <c r="H662" s="16"/>
      <c r="I662" s="16"/>
      <c r="J662" s="16"/>
    </row>
    <row r="663" spans="1:10" s="9" customFormat="1" ht="44.25" customHeight="1" x14ac:dyDescent="0.2">
      <c r="A663" s="84" t="s">
        <v>414</v>
      </c>
      <c r="B663" s="43" t="s">
        <v>377</v>
      </c>
      <c r="C663" s="147"/>
      <c r="D663" s="45">
        <f>D664</f>
        <v>293120</v>
      </c>
      <c r="E663" s="45">
        <f t="shared" ref="E663:F663" si="241">E664</f>
        <v>293120</v>
      </c>
      <c r="F663" s="45">
        <f t="shared" si="241"/>
        <v>293120</v>
      </c>
      <c r="G663" s="16"/>
      <c r="H663" s="16"/>
      <c r="I663" s="16"/>
      <c r="J663" s="16"/>
    </row>
    <row r="664" spans="1:10" s="9" customFormat="1" ht="12.75" x14ac:dyDescent="0.2">
      <c r="A664" s="42" t="s">
        <v>169</v>
      </c>
      <c r="B664" s="43" t="s">
        <v>377</v>
      </c>
      <c r="C664" s="147" t="s">
        <v>191</v>
      </c>
      <c r="D664" s="45">
        <f>D665</f>
        <v>293120</v>
      </c>
      <c r="E664" s="45">
        <f t="shared" ref="E664:F664" si="242">E665</f>
        <v>293120</v>
      </c>
      <c r="F664" s="45">
        <f t="shared" si="242"/>
        <v>293120</v>
      </c>
      <c r="G664" s="16"/>
      <c r="H664" s="16"/>
      <c r="I664" s="16"/>
      <c r="J664" s="16"/>
    </row>
    <row r="665" spans="1:10" s="9" customFormat="1" ht="38.25" x14ac:dyDescent="0.2">
      <c r="A665" s="42" t="s">
        <v>206</v>
      </c>
      <c r="B665" s="43" t="s">
        <v>377</v>
      </c>
      <c r="C665" s="147" t="s">
        <v>207</v>
      </c>
      <c r="D665" s="45">
        <f>D666</f>
        <v>293120</v>
      </c>
      <c r="E665" s="45">
        <f t="shared" ref="E665:F665" si="243">E666</f>
        <v>293120</v>
      </c>
      <c r="F665" s="45">
        <f t="shared" si="243"/>
        <v>293120</v>
      </c>
      <c r="G665" s="16"/>
      <c r="H665" s="16"/>
      <c r="I665" s="16"/>
      <c r="J665" s="16"/>
    </row>
    <row r="666" spans="1:10" s="9" customFormat="1" ht="51" x14ac:dyDescent="0.2">
      <c r="A666" s="42" t="s">
        <v>208</v>
      </c>
      <c r="B666" s="43" t="s">
        <v>377</v>
      </c>
      <c r="C666" s="147" t="s">
        <v>209</v>
      </c>
      <c r="D666" s="45">
        <v>293120</v>
      </c>
      <c r="E666" s="45">
        <v>293120</v>
      </c>
      <c r="F666" s="45">
        <v>293120</v>
      </c>
      <c r="G666" s="16"/>
      <c r="H666" s="16"/>
      <c r="I666" s="16"/>
      <c r="J666" s="16"/>
    </row>
    <row r="667" spans="1:10" s="9" customFormat="1" ht="42.75" customHeight="1" x14ac:dyDescent="0.2">
      <c r="A667" s="42" t="s">
        <v>466</v>
      </c>
      <c r="B667" s="43" t="s">
        <v>427</v>
      </c>
      <c r="C667" s="147"/>
      <c r="D667" s="45">
        <f t="shared" ref="D667:D668" si="244">D668</f>
        <v>23186924.359999999</v>
      </c>
      <c r="E667" s="45">
        <f t="shared" ref="E667:E668" si="245">E668</f>
        <v>0</v>
      </c>
      <c r="F667" s="45">
        <f t="shared" ref="F667:F668" si="246">F668</f>
        <v>0</v>
      </c>
      <c r="G667" s="16"/>
      <c r="H667" s="16"/>
      <c r="I667" s="16"/>
      <c r="J667" s="16"/>
    </row>
    <row r="668" spans="1:10" s="9" customFormat="1" ht="25.5" x14ac:dyDescent="0.2">
      <c r="A668" s="42" t="s">
        <v>78</v>
      </c>
      <c r="B668" s="43" t="s">
        <v>427</v>
      </c>
      <c r="C668" s="147">
        <v>400</v>
      </c>
      <c r="D668" s="45">
        <f t="shared" si="244"/>
        <v>23186924.359999999</v>
      </c>
      <c r="E668" s="45">
        <f t="shared" si="245"/>
        <v>0</v>
      </c>
      <c r="F668" s="45">
        <f t="shared" si="246"/>
        <v>0</v>
      </c>
      <c r="G668" s="16"/>
      <c r="H668" s="16"/>
      <c r="I668" s="16"/>
      <c r="J668" s="16"/>
    </row>
    <row r="669" spans="1:10" s="9" customFormat="1" ht="12.75" x14ac:dyDescent="0.2">
      <c r="A669" s="42" t="s">
        <v>79</v>
      </c>
      <c r="B669" s="43" t="s">
        <v>427</v>
      </c>
      <c r="C669" s="147">
        <v>410</v>
      </c>
      <c r="D669" s="45">
        <f>D670</f>
        <v>23186924.359999999</v>
      </c>
      <c r="E669" s="45">
        <f t="shared" ref="E669:F669" si="247">E670</f>
        <v>0</v>
      </c>
      <c r="F669" s="45">
        <f t="shared" si="247"/>
        <v>0</v>
      </c>
      <c r="G669" s="16"/>
      <c r="H669" s="16"/>
      <c r="I669" s="16"/>
      <c r="J669" s="16"/>
    </row>
    <row r="670" spans="1:10" s="9" customFormat="1" ht="45.75" customHeight="1" x14ac:dyDescent="0.2">
      <c r="A670" s="42" t="s">
        <v>102</v>
      </c>
      <c r="B670" s="43" t="s">
        <v>427</v>
      </c>
      <c r="C670" s="147">
        <v>414</v>
      </c>
      <c r="D670" s="45">
        <v>23186924.359999999</v>
      </c>
      <c r="E670" s="45"/>
      <c r="F670" s="45"/>
      <c r="G670" s="16"/>
      <c r="H670" s="16"/>
      <c r="I670" s="16"/>
      <c r="J670" s="16"/>
    </row>
    <row r="671" spans="1:10" s="9" customFormat="1" ht="40.5" x14ac:dyDescent="0.2">
      <c r="A671" s="149" t="s">
        <v>375</v>
      </c>
      <c r="B671" s="162" t="s">
        <v>373</v>
      </c>
      <c r="C671" s="163"/>
      <c r="D671" s="164">
        <f>D672</f>
        <v>405250</v>
      </c>
      <c r="E671" s="164">
        <f t="shared" ref="E671:F673" si="248">E672</f>
        <v>109500</v>
      </c>
      <c r="F671" s="164">
        <f t="shared" si="248"/>
        <v>109500</v>
      </c>
      <c r="G671" s="16"/>
      <c r="H671" s="16"/>
      <c r="I671" s="16"/>
      <c r="J671" s="16"/>
    </row>
    <row r="672" spans="1:10" s="9" customFormat="1" ht="25.5" x14ac:dyDescent="0.2">
      <c r="A672" s="52" t="s">
        <v>190</v>
      </c>
      <c r="B672" s="43" t="s">
        <v>374</v>
      </c>
      <c r="C672" s="147"/>
      <c r="D672" s="45">
        <f>D673</f>
        <v>405250</v>
      </c>
      <c r="E672" s="45">
        <f t="shared" si="248"/>
        <v>109500</v>
      </c>
      <c r="F672" s="45">
        <f t="shared" si="248"/>
        <v>109500</v>
      </c>
      <c r="G672" s="16"/>
      <c r="H672" s="16"/>
      <c r="I672" s="16"/>
      <c r="J672" s="16"/>
    </row>
    <row r="673" spans="1:10" s="9" customFormat="1" ht="12.75" x14ac:dyDescent="0.2">
      <c r="A673" s="52" t="s">
        <v>83</v>
      </c>
      <c r="B673" s="43" t="s">
        <v>374</v>
      </c>
      <c r="C673" s="147" t="s">
        <v>191</v>
      </c>
      <c r="D673" s="45">
        <f>D674</f>
        <v>405250</v>
      </c>
      <c r="E673" s="45">
        <f t="shared" si="248"/>
        <v>109500</v>
      </c>
      <c r="F673" s="45">
        <f t="shared" si="248"/>
        <v>109500</v>
      </c>
      <c r="G673" s="16"/>
      <c r="H673" s="16"/>
      <c r="I673" s="16"/>
      <c r="J673" s="16"/>
    </row>
    <row r="674" spans="1:10" s="9" customFormat="1" ht="12.75" x14ac:dyDescent="0.2">
      <c r="A674" s="52" t="s">
        <v>186</v>
      </c>
      <c r="B674" s="43" t="s">
        <v>374</v>
      </c>
      <c r="C674" s="147" t="s">
        <v>192</v>
      </c>
      <c r="D674" s="45">
        <f>D675</f>
        <v>405250</v>
      </c>
      <c r="E674" s="45">
        <f t="shared" ref="E674:F674" si="249">E675</f>
        <v>109500</v>
      </c>
      <c r="F674" s="45">
        <f t="shared" si="249"/>
        <v>109500</v>
      </c>
      <c r="G674" s="16"/>
      <c r="H674" s="16"/>
      <c r="I674" s="16"/>
      <c r="J674" s="16"/>
    </row>
    <row r="675" spans="1:10" s="9" customFormat="1" ht="25.5" x14ac:dyDescent="0.2">
      <c r="A675" s="52" t="s">
        <v>187</v>
      </c>
      <c r="B675" s="43" t="s">
        <v>374</v>
      </c>
      <c r="C675" s="147" t="s">
        <v>193</v>
      </c>
      <c r="D675" s="45">
        <f>109500+120000+300+30000+30000+450+15000+100000</f>
        <v>405250</v>
      </c>
      <c r="E675" s="45">
        <v>109500</v>
      </c>
      <c r="F675" s="45">
        <v>109500</v>
      </c>
      <c r="G675" s="16"/>
      <c r="H675" s="16"/>
      <c r="I675" s="16"/>
      <c r="J675" s="16"/>
    </row>
    <row r="676" spans="1:10" s="5" customFormat="1" ht="46.5" customHeight="1" x14ac:dyDescent="0.2">
      <c r="A676" s="56" t="s">
        <v>144</v>
      </c>
      <c r="B676" s="57" t="s">
        <v>145</v>
      </c>
      <c r="C676" s="105"/>
      <c r="D676" s="59">
        <f>D677+D689</f>
        <v>17997739.629999999</v>
      </c>
      <c r="E676" s="59">
        <f>E677+E689</f>
        <v>11418621.209999999</v>
      </c>
      <c r="F676" s="59">
        <f>F677+F689</f>
        <v>11697199.59</v>
      </c>
      <c r="G676" s="15"/>
      <c r="H676" s="15"/>
      <c r="I676" s="15"/>
      <c r="J676" s="15"/>
    </row>
    <row r="677" spans="1:10" s="2" customFormat="1" ht="47.25" customHeight="1" x14ac:dyDescent="0.2">
      <c r="A677" s="42" t="s">
        <v>200</v>
      </c>
      <c r="B677" s="77" t="s">
        <v>201</v>
      </c>
      <c r="C677" s="51"/>
      <c r="D677" s="132">
        <f>D682+D678</f>
        <v>10570594.779999999</v>
      </c>
      <c r="E677" s="132">
        <f t="shared" ref="E677:F677" si="250">E682+E678</f>
        <v>3723190.4899999998</v>
      </c>
      <c r="F677" s="132">
        <f t="shared" si="250"/>
        <v>3728668.12</v>
      </c>
      <c r="G677" s="16"/>
      <c r="H677" s="16"/>
      <c r="I677" s="16"/>
      <c r="J677" s="16"/>
    </row>
    <row r="678" spans="1:10" s="9" customFormat="1" ht="45" customHeight="1" x14ac:dyDescent="0.2">
      <c r="A678" s="84" t="s">
        <v>460</v>
      </c>
      <c r="B678" s="77" t="s">
        <v>348</v>
      </c>
      <c r="C678" s="51"/>
      <c r="D678" s="132">
        <f t="shared" ref="D678:D679" si="251">D679</f>
        <v>9814802.7799999993</v>
      </c>
      <c r="E678" s="132">
        <f t="shared" ref="E678:E679" si="252">E679</f>
        <v>2967398.4899999998</v>
      </c>
      <c r="F678" s="132">
        <f t="shared" ref="F678:F679" si="253">F679</f>
        <v>2972876.12</v>
      </c>
      <c r="G678" s="16"/>
      <c r="H678" s="16"/>
      <c r="I678" s="16"/>
      <c r="J678" s="16"/>
    </row>
    <row r="679" spans="1:10" s="9" customFormat="1" ht="32.25" customHeight="1" x14ac:dyDescent="0.2">
      <c r="A679" s="42" t="s">
        <v>78</v>
      </c>
      <c r="B679" s="77" t="s">
        <v>348</v>
      </c>
      <c r="C679" s="51" t="s">
        <v>202</v>
      </c>
      <c r="D679" s="132">
        <f t="shared" si="251"/>
        <v>9814802.7799999993</v>
      </c>
      <c r="E679" s="132">
        <f t="shared" si="252"/>
        <v>2967398.4899999998</v>
      </c>
      <c r="F679" s="132">
        <f t="shared" si="253"/>
        <v>2972876.12</v>
      </c>
      <c r="G679" s="16"/>
      <c r="H679" s="16"/>
      <c r="I679" s="16"/>
      <c r="J679" s="16"/>
    </row>
    <row r="680" spans="1:10" s="9" customFormat="1" ht="12.75" x14ac:dyDescent="0.2">
      <c r="A680" s="42" t="s">
        <v>79</v>
      </c>
      <c r="B680" s="77" t="s">
        <v>348</v>
      </c>
      <c r="C680" s="51" t="s">
        <v>203</v>
      </c>
      <c r="D680" s="132">
        <f>D681</f>
        <v>9814802.7799999993</v>
      </c>
      <c r="E680" s="132">
        <f t="shared" ref="E680:F680" si="254">E681</f>
        <v>2967398.4899999998</v>
      </c>
      <c r="F680" s="132">
        <f t="shared" si="254"/>
        <v>2972876.12</v>
      </c>
      <c r="G680" s="16"/>
      <c r="H680" s="16"/>
      <c r="I680" s="16"/>
      <c r="J680" s="16"/>
    </row>
    <row r="681" spans="1:10" s="9" customFormat="1" ht="39" customHeight="1" x14ac:dyDescent="0.2">
      <c r="A681" s="42" t="s">
        <v>204</v>
      </c>
      <c r="B681" s="77" t="s">
        <v>348</v>
      </c>
      <c r="C681" s="51" t="s">
        <v>205</v>
      </c>
      <c r="D681" s="132">
        <f>2963993.86-1863.89+6852672.81</f>
        <v>9814802.7799999993</v>
      </c>
      <c r="E681" s="132">
        <f>3012069.96-44671.47</f>
        <v>2967398.4899999998</v>
      </c>
      <c r="F681" s="132">
        <f>3082942.2-110066.08</f>
        <v>2972876.12</v>
      </c>
      <c r="G681" s="16"/>
      <c r="H681" s="16"/>
      <c r="I681" s="16"/>
      <c r="J681" s="16"/>
    </row>
    <row r="682" spans="1:10" s="2" customFormat="1" ht="81" customHeight="1" x14ac:dyDescent="0.2">
      <c r="A682" s="42" t="s">
        <v>465</v>
      </c>
      <c r="B682" s="77" t="s">
        <v>349</v>
      </c>
      <c r="C682" s="51"/>
      <c r="D682" s="132">
        <f>D686+D683</f>
        <v>755792</v>
      </c>
      <c r="E682" s="132">
        <f t="shared" ref="E682:F682" si="255">E686+E683</f>
        <v>755792</v>
      </c>
      <c r="F682" s="132">
        <f t="shared" si="255"/>
        <v>755792</v>
      </c>
      <c r="G682" s="16"/>
      <c r="H682" s="16"/>
      <c r="I682" s="16"/>
      <c r="J682" s="16"/>
    </row>
    <row r="683" spans="1:10" s="2" customFormat="1" ht="25.5" x14ac:dyDescent="0.2">
      <c r="A683" s="42" t="s">
        <v>80</v>
      </c>
      <c r="B683" s="77" t="s">
        <v>349</v>
      </c>
      <c r="C683" s="51">
        <v>200</v>
      </c>
      <c r="D683" s="132">
        <f>D684</f>
        <v>2267.37</v>
      </c>
      <c r="E683" s="132">
        <f t="shared" ref="E683" si="256">E684</f>
        <v>2267.37</v>
      </c>
      <c r="F683" s="132">
        <f t="shared" ref="F683" si="257">F684</f>
        <v>2267.37</v>
      </c>
      <c r="G683" s="16"/>
      <c r="H683" s="16"/>
      <c r="I683" s="16"/>
      <c r="J683" s="16"/>
    </row>
    <row r="684" spans="1:10" s="2" customFormat="1" ht="25.5" x14ac:dyDescent="0.2">
      <c r="A684" s="42" t="s">
        <v>62</v>
      </c>
      <c r="B684" s="77" t="s">
        <v>349</v>
      </c>
      <c r="C684" s="51">
        <v>240</v>
      </c>
      <c r="D684" s="132">
        <f>D685</f>
        <v>2267.37</v>
      </c>
      <c r="E684" s="132">
        <f t="shared" ref="E684:F684" si="258">E685</f>
        <v>2267.37</v>
      </c>
      <c r="F684" s="132">
        <f t="shared" si="258"/>
        <v>2267.37</v>
      </c>
      <c r="G684" s="16"/>
      <c r="H684" s="16"/>
      <c r="I684" s="16"/>
      <c r="J684" s="16"/>
    </row>
    <row r="685" spans="1:10" s="2" customFormat="1" ht="12.75" x14ac:dyDescent="0.2">
      <c r="A685" s="42" t="s">
        <v>21</v>
      </c>
      <c r="B685" s="77" t="s">
        <v>349</v>
      </c>
      <c r="C685" s="51">
        <v>244</v>
      </c>
      <c r="D685" s="132">
        <v>2267.37</v>
      </c>
      <c r="E685" s="132">
        <v>2267.37</v>
      </c>
      <c r="F685" s="132">
        <v>2267.37</v>
      </c>
      <c r="G685" s="16"/>
      <c r="H685" s="16"/>
      <c r="I685" s="16"/>
      <c r="J685" s="16"/>
    </row>
    <row r="686" spans="1:10" s="2" customFormat="1" ht="25.5" x14ac:dyDescent="0.2">
      <c r="A686" s="42" t="s">
        <v>78</v>
      </c>
      <c r="B686" s="77" t="s">
        <v>349</v>
      </c>
      <c r="C686" s="51" t="s">
        <v>202</v>
      </c>
      <c r="D686" s="132">
        <f>D688</f>
        <v>753524.63</v>
      </c>
      <c r="E686" s="132">
        <f>E688</f>
        <v>753524.63</v>
      </c>
      <c r="F686" s="132">
        <f>F688</f>
        <v>753524.63</v>
      </c>
      <c r="G686" s="16"/>
      <c r="H686" s="16"/>
      <c r="I686" s="16"/>
      <c r="J686" s="16"/>
    </row>
    <row r="687" spans="1:10" s="2" customFormat="1" ht="12.75" x14ac:dyDescent="0.2">
      <c r="A687" s="42" t="s">
        <v>79</v>
      </c>
      <c r="B687" s="77" t="s">
        <v>349</v>
      </c>
      <c r="C687" s="51" t="s">
        <v>203</v>
      </c>
      <c r="D687" s="132">
        <f>D688</f>
        <v>753524.63</v>
      </c>
      <c r="E687" s="132">
        <f>E688</f>
        <v>753524.63</v>
      </c>
      <c r="F687" s="132">
        <f>F688</f>
        <v>753524.63</v>
      </c>
      <c r="G687" s="16"/>
      <c r="H687" s="16"/>
      <c r="I687" s="16"/>
      <c r="J687" s="16"/>
    </row>
    <row r="688" spans="1:10" s="2" customFormat="1" ht="39.75" customHeight="1" x14ac:dyDescent="0.2">
      <c r="A688" s="42" t="s">
        <v>204</v>
      </c>
      <c r="B688" s="77" t="s">
        <v>349</v>
      </c>
      <c r="C688" s="51" t="s">
        <v>205</v>
      </c>
      <c r="D688" s="132">
        <v>753524.63</v>
      </c>
      <c r="E688" s="132">
        <v>753524.63</v>
      </c>
      <c r="F688" s="132">
        <v>753524.63</v>
      </c>
      <c r="G688" s="16"/>
      <c r="H688" s="16"/>
      <c r="I688" s="16"/>
      <c r="J688" s="16"/>
    </row>
    <row r="689" spans="1:10" s="2" customFormat="1" ht="30" customHeight="1" x14ac:dyDescent="0.2">
      <c r="A689" s="84" t="s">
        <v>194</v>
      </c>
      <c r="B689" s="40" t="s">
        <v>195</v>
      </c>
      <c r="C689" s="147"/>
      <c r="D689" s="45">
        <f>D690+D699</f>
        <v>7427144.8500000006</v>
      </c>
      <c r="E689" s="45">
        <f>E690+E699</f>
        <v>7695430.7199999997</v>
      </c>
      <c r="F689" s="45">
        <f>F690+F699</f>
        <v>7968531.4699999997</v>
      </c>
      <c r="G689" s="16"/>
      <c r="H689" s="16"/>
      <c r="I689" s="16"/>
      <c r="J689" s="16"/>
    </row>
    <row r="690" spans="1:10" s="2" customFormat="1" ht="25.5" x14ac:dyDescent="0.2">
      <c r="A690" s="82" t="s">
        <v>411</v>
      </c>
      <c r="B690" s="40" t="s">
        <v>412</v>
      </c>
      <c r="C690" s="127"/>
      <c r="D690" s="45">
        <f>D692+D697</f>
        <v>7284296.8500000006</v>
      </c>
      <c r="E690" s="45">
        <f>E692+E697</f>
        <v>7546868.7199999997</v>
      </c>
      <c r="F690" s="45">
        <f>F692+F697</f>
        <v>7819969.4699999997</v>
      </c>
      <c r="G690" s="16"/>
      <c r="H690" s="16"/>
      <c r="I690" s="16"/>
      <c r="J690" s="16"/>
    </row>
    <row r="691" spans="1:10" s="2" customFormat="1" ht="65.25" customHeight="1" x14ac:dyDescent="0.2">
      <c r="A691" s="84" t="s">
        <v>82</v>
      </c>
      <c r="B691" s="40" t="s">
        <v>412</v>
      </c>
      <c r="C691" s="44">
        <v>100</v>
      </c>
      <c r="D691" s="45">
        <f>D692</f>
        <v>6724296.8500000006</v>
      </c>
      <c r="E691" s="45">
        <f>E692</f>
        <v>6986868.7199999997</v>
      </c>
      <c r="F691" s="45">
        <f>F692</f>
        <v>7259969.4699999997</v>
      </c>
      <c r="G691" s="16"/>
      <c r="H691" s="16"/>
      <c r="I691" s="16"/>
      <c r="J691" s="16"/>
    </row>
    <row r="692" spans="1:10" s="2" customFormat="1" ht="25.5" x14ac:dyDescent="0.2">
      <c r="A692" s="42" t="s">
        <v>61</v>
      </c>
      <c r="B692" s="40" t="s">
        <v>412</v>
      </c>
      <c r="C692" s="44">
        <v>120</v>
      </c>
      <c r="D692" s="45">
        <f>D693+D694+D695</f>
        <v>6724296.8500000006</v>
      </c>
      <c r="E692" s="45">
        <f>E693+E694+E695</f>
        <v>6986868.7199999997</v>
      </c>
      <c r="F692" s="45">
        <f>F693+F694+F695</f>
        <v>7259969.4699999997</v>
      </c>
      <c r="G692" s="16"/>
      <c r="H692" s="16"/>
      <c r="I692" s="16"/>
      <c r="J692" s="16"/>
    </row>
    <row r="693" spans="1:10" s="2" customFormat="1" ht="12.75" x14ac:dyDescent="0.2">
      <c r="A693" s="42" t="s">
        <v>7</v>
      </c>
      <c r="B693" s="40" t="s">
        <v>412</v>
      </c>
      <c r="C693" s="44">
        <v>121</v>
      </c>
      <c r="D693" s="45">
        <v>5041702.6500000004</v>
      </c>
      <c r="E693" s="45">
        <v>5243370.75</v>
      </c>
      <c r="F693" s="45">
        <v>5453125.5499999998</v>
      </c>
      <c r="G693" s="16"/>
      <c r="H693" s="16"/>
      <c r="I693" s="16"/>
      <c r="J693" s="16"/>
    </row>
    <row r="694" spans="1:10" s="2" customFormat="1" ht="25.5" customHeight="1" x14ac:dyDescent="0.2">
      <c r="A694" s="42" t="s">
        <v>158</v>
      </c>
      <c r="B694" s="40" t="s">
        <v>412</v>
      </c>
      <c r="C694" s="44">
        <v>122</v>
      </c>
      <c r="D694" s="45">
        <v>160000</v>
      </c>
      <c r="E694" s="45">
        <v>160000</v>
      </c>
      <c r="F694" s="45">
        <v>160000</v>
      </c>
      <c r="G694" s="16"/>
      <c r="H694" s="16"/>
      <c r="I694" s="16"/>
      <c r="J694" s="16"/>
    </row>
    <row r="695" spans="1:10" s="2" customFormat="1" ht="38.25" x14ac:dyDescent="0.2">
      <c r="A695" s="42" t="s">
        <v>6</v>
      </c>
      <c r="B695" s="40" t="s">
        <v>412</v>
      </c>
      <c r="C695" s="44">
        <v>129</v>
      </c>
      <c r="D695" s="45">
        <v>1522594.2</v>
      </c>
      <c r="E695" s="45">
        <v>1583497.97</v>
      </c>
      <c r="F695" s="45">
        <v>1646843.92</v>
      </c>
      <c r="G695" s="16"/>
      <c r="H695" s="16"/>
      <c r="I695" s="16"/>
      <c r="J695" s="16"/>
    </row>
    <row r="696" spans="1:10" s="2" customFormat="1" ht="25.5" x14ac:dyDescent="0.2">
      <c r="A696" s="42" t="s">
        <v>80</v>
      </c>
      <c r="B696" s="40" t="s">
        <v>412</v>
      </c>
      <c r="C696" s="44">
        <v>200</v>
      </c>
      <c r="D696" s="45">
        <f t="shared" ref="D696:F697" si="259">D697</f>
        <v>560000</v>
      </c>
      <c r="E696" s="45">
        <f t="shared" si="259"/>
        <v>560000</v>
      </c>
      <c r="F696" s="45">
        <f t="shared" si="259"/>
        <v>560000</v>
      </c>
      <c r="G696" s="16"/>
      <c r="H696" s="16"/>
      <c r="I696" s="16"/>
      <c r="J696" s="16"/>
    </row>
    <row r="697" spans="1:10" s="2" customFormat="1" ht="25.5" x14ac:dyDescent="0.2">
      <c r="A697" s="42" t="s">
        <v>62</v>
      </c>
      <c r="B697" s="40" t="s">
        <v>412</v>
      </c>
      <c r="C697" s="44">
        <v>240</v>
      </c>
      <c r="D697" s="45">
        <f t="shared" si="259"/>
        <v>560000</v>
      </c>
      <c r="E697" s="45">
        <f t="shared" si="259"/>
        <v>560000</v>
      </c>
      <c r="F697" s="45">
        <f t="shared" si="259"/>
        <v>560000</v>
      </c>
      <c r="G697" s="16"/>
      <c r="H697" s="16"/>
      <c r="I697" s="16"/>
      <c r="J697" s="16"/>
    </row>
    <row r="698" spans="1:10" s="2" customFormat="1" ht="12.75" x14ac:dyDescent="0.2">
      <c r="A698" s="42" t="s">
        <v>21</v>
      </c>
      <c r="B698" s="40" t="s">
        <v>412</v>
      </c>
      <c r="C698" s="44">
        <v>244</v>
      </c>
      <c r="D698" s="45">
        <v>560000</v>
      </c>
      <c r="E698" s="45">
        <v>560000</v>
      </c>
      <c r="F698" s="45">
        <v>560000</v>
      </c>
      <c r="G698" s="16"/>
      <c r="H698" s="16"/>
      <c r="I698" s="16"/>
      <c r="J698" s="16"/>
    </row>
    <row r="699" spans="1:10" s="2" customFormat="1" ht="25.5" x14ac:dyDescent="0.2">
      <c r="A699" s="84" t="s">
        <v>366</v>
      </c>
      <c r="B699" s="40" t="s">
        <v>350</v>
      </c>
      <c r="C699" s="147"/>
      <c r="D699" s="45">
        <f>D701</f>
        <v>142848</v>
      </c>
      <c r="E699" s="45">
        <f>E701</f>
        <v>148562</v>
      </c>
      <c r="F699" s="45">
        <f>F701</f>
        <v>148562</v>
      </c>
      <c r="G699" s="16"/>
      <c r="H699" s="16"/>
      <c r="I699" s="16"/>
      <c r="J699" s="16"/>
    </row>
    <row r="700" spans="1:10" s="2" customFormat="1" ht="12.75" x14ac:dyDescent="0.2">
      <c r="A700" s="42" t="s">
        <v>84</v>
      </c>
      <c r="B700" s="40" t="s">
        <v>350</v>
      </c>
      <c r="C700" s="147" t="s">
        <v>196</v>
      </c>
      <c r="D700" s="45">
        <f t="shared" ref="D700:F701" si="260">D701</f>
        <v>142848</v>
      </c>
      <c r="E700" s="45">
        <f t="shared" si="260"/>
        <v>148562</v>
      </c>
      <c r="F700" s="45">
        <f t="shared" si="260"/>
        <v>148562</v>
      </c>
      <c r="G700" s="16"/>
      <c r="H700" s="16"/>
      <c r="I700" s="16"/>
      <c r="J700" s="16"/>
    </row>
    <row r="701" spans="1:10" s="2" customFormat="1" ht="25.5" x14ac:dyDescent="0.2">
      <c r="A701" s="42" t="s">
        <v>72</v>
      </c>
      <c r="B701" s="40" t="s">
        <v>350</v>
      </c>
      <c r="C701" s="147" t="s">
        <v>197</v>
      </c>
      <c r="D701" s="45">
        <f t="shared" si="260"/>
        <v>142848</v>
      </c>
      <c r="E701" s="45">
        <f t="shared" si="260"/>
        <v>148562</v>
      </c>
      <c r="F701" s="45">
        <f t="shared" si="260"/>
        <v>148562</v>
      </c>
      <c r="G701" s="16"/>
      <c r="H701" s="16"/>
      <c r="I701" s="16"/>
      <c r="J701" s="16"/>
    </row>
    <row r="702" spans="1:10" s="2" customFormat="1" ht="25.5" x14ac:dyDescent="0.2">
      <c r="A702" s="42" t="s">
        <v>198</v>
      </c>
      <c r="B702" s="40" t="s">
        <v>350</v>
      </c>
      <c r="C702" s="147" t="s">
        <v>199</v>
      </c>
      <c r="D702" s="45">
        <v>142848</v>
      </c>
      <c r="E702" s="45">
        <v>148562</v>
      </c>
      <c r="F702" s="45">
        <v>148562</v>
      </c>
      <c r="G702" s="16"/>
      <c r="H702" s="16"/>
      <c r="I702" s="16"/>
      <c r="J702" s="16"/>
    </row>
    <row r="703" spans="1:10" s="5" customFormat="1" ht="46.5" customHeight="1" x14ac:dyDescent="0.2">
      <c r="A703" s="56" t="s">
        <v>146</v>
      </c>
      <c r="B703" s="57" t="s">
        <v>147</v>
      </c>
      <c r="C703" s="105"/>
      <c r="D703" s="59">
        <f>D704</f>
        <v>33223498.359999999</v>
      </c>
      <c r="E703" s="59">
        <f>E704</f>
        <v>30282174.719999999</v>
      </c>
      <c r="F703" s="59">
        <f>F704</f>
        <v>30450792.600000001</v>
      </c>
      <c r="G703" s="15"/>
      <c r="H703" s="15"/>
      <c r="I703" s="15"/>
      <c r="J703" s="15"/>
    </row>
    <row r="704" spans="1:10" s="2" customFormat="1" ht="25.5" x14ac:dyDescent="0.2">
      <c r="A704" s="42" t="s">
        <v>51</v>
      </c>
      <c r="B704" s="64" t="s">
        <v>215</v>
      </c>
      <c r="C704" s="51"/>
      <c r="D704" s="132">
        <f>D705+D710+D715</f>
        <v>33223498.359999999</v>
      </c>
      <c r="E704" s="132">
        <f>E705+E710+E715</f>
        <v>30282174.719999999</v>
      </c>
      <c r="F704" s="132">
        <f>F705+F710+F715</f>
        <v>30450792.600000001</v>
      </c>
      <c r="G704" s="16"/>
      <c r="H704" s="16"/>
      <c r="I704" s="16"/>
      <c r="J704" s="16"/>
    </row>
    <row r="705" spans="1:10" s="2" customFormat="1" ht="51" x14ac:dyDescent="0.2">
      <c r="A705" s="42" t="s">
        <v>82</v>
      </c>
      <c r="B705" s="64" t="s">
        <v>215</v>
      </c>
      <c r="C705" s="51" t="s">
        <v>99</v>
      </c>
      <c r="D705" s="132">
        <f>D706</f>
        <v>17022747.629999999</v>
      </c>
      <c r="E705" s="132">
        <f>E706</f>
        <v>17022747.629999999</v>
      </c>
      <c r="F705" s="132">
        <f>F706</f>
        <v>17191365.510000002</v>
      </c>
      <c r="G705" s="16"/>
      <c r="H705" s="16"/>
      <c r="I705" s="16"/>
      <c r="J705" s="16"/>
    </row>
    <row r="706" spans="1:10" s="2" customFormat="1" ht="12.75" x14ac:dyDescent="0.2">
      <c r="A706" s="84" t="s">
        <v>74</v>
      </c>
      <c r="B706" s="64" t="s">
        <v>215</v>
      </c>
      <c r="C706" s="51" t="s">
        <v>100</v>
      </c>
      <c r="D706" s="132">
        <f>D707+D708+D709</f>
        <v>17022747.629999999</v>
      </c>
      <c r="E706" s="132">
        <f>E707+E708+E709</f>
        <v>17022747.629999999</v>
      </c>
      <c r="F706" s="132">
        <f>F707+F708+F709</f>
        <v>17191365.510000002</v>
      </c>
      <c r="G706" s="16"/>
      <c r="H706" s="16"/>
      <c r="I706" s="16"/>
      <c r="J706" s="16"/>
    </row>
    <row r="707" spans="1:10" s="2" customFormat="1" ht="12.75" x14ac:dyDescent="0.2">
      <c r="A707" s="84" t="s">
        <v>216</v>
      </c>
      <c r="B707" s="64" t="s">
        <v>215</v>
      </c>
      <c r="C707" s="51" t="s">
        <v>217</v>
      </c>
      <c r="D707" s="132">
        <v>12950681.74</v>
      </c>
      <c r="E707" s="132">
        <v>12950681.74</v>
      </c>
      <c r="F707" s="132">
        <v>13080188.560000001</v>
      </c>
      <c r="G707" s="16"/>
      <c r="H707" s="16"/>
      <c r="I707" s="16"/>
      <c r="J707" s="16"/>
    </row>
    <row r="708" spans="1:10" s="2" customFormat="1" ht="25.5" x14ac:dyDescent="0.2">
      <c r="A708" s="42" t="s">
        <v>218</v>
      </c>
      <c r="B708" s="64" t="s">
        <v>215</v>
      </c>
      <c r="C708" s="165" t="s">
        <v>101</v>
      </c>
      <c r="D708" s="50">
        <v>160960</v>
      </c>
      <c r="E708" s="50">
        <v>160960</v>
      </c>
      <c r="F708" s="50">
        <v>160960</v>
      </c>
      <c r="G708" s="16"/>
      <c r="H708" s="16"/>
      <c r="I708" s="16"/>
      <c r="J708" s="16"/>
    </row>
    <row r="709" spans="1:10" s="2" customFormat="1" ht="38.25" x14ac:dyDescent="0.2">
      <c r="A709" s="42" t="s">
        <v>219</v>
      </c>
      <c r="B709" s="64" t="s">
        <v>215</v>
      </c>
      <c r="C709" s="165" t="s">
        <v>220</v>
      </c>
      <c r="D709" s="50">
        <v>3911105.89</v>
      </c>
      <c r="E709" s="50">
        <v>3911105.89</v>
      </c>
      <c r="F709" s="50">
        <v>3950216.95</v>
      </c>
      <c r="G709" s="16"/>
      <c r="H709" s="16"/>
      <c r="I709" s="16"/>
      <c r="J709" s="16"/>
    </row>
    <row r="710" spans="1:10" s="2" customFormat="1" ht="25.5" x14ac:dyDescent="0.2">
      <c r="A710" s="42" t="s">
        <v>80</v>
      </c>
      <c r="B710" s="64" t="s">
        <v>215</v>
      </c>
      <c r="C710" s="165" t="s">
        <v>103</v>
      </c>
      <c r="D710" s="50">
        <f>D711</f>
        <v>16128620.73</v>
      </c>
      <c r="E710" s="50">
        <f>E711</f>
        <v>13187021.09</v>
      </c>
      <c r="F710" s="50">
        <f>F711</f>
        <v>13187021.09</v>
      </c>
      <c r="G710" s="16"/>
      <c r="H710" s="16"/>
      <c r="I710" s="16"/>
      <c r="J710" s="16"/>
    </row>
    <row r="711" spans="1:10" s="2" customFormat="1" ht="25.5" x14ac:dyDescent="0.2">
      <c r="A711" s="42" t="s">
        <v>221</v>
      </c>
      <c r="B711" s="64" t="s">
        <v>215</v>
      </c>
      <c r="C711" s="165" t="s">
        <v>104</v>
      </c>
      <c r="D711" s="50">
        <f>D713+D714+D712</f>
        <v>16128620.73</v>
      </c>
      <c r="E711" s="50">
        <f t="shared" ref="E711:F711" si="261">E713+E714+E712</f>
        <v>13187021.09</v>
      </c>
      <c r="F711" s="50">
        <f t="shared" si="261"/>
        <v>13187021.09</v>
      </c>
      <c r="G711" s="16"/>
      <c r="H711" s="16"/>
      <c r="I711" s="16"/>
      <c r="J711" s="16"/>
    </row>
    <row r="712" spans="1:10" s="2" customFormat="1" ht="24.75" customHeight="1" x14ac:dyDescent="0.2">
      <c r="A712" s="42" t="s">
        <v>388</v>
      </c>
      <c r="B712" s="64" t="s">
        <v>215</v>
      </c>
      <c r="C712" s="165">
        <v>243</v>
      </c>
      <c r="D712" s="50">
        <v>0</v>
      </c>
      <c r="E712" s="50"/>
      <c r="F712" s="50"/>
      <c r="G712" s="16"/>
      <c r="H712" s="16"/>
      <c r="I712" s="16"/>
      <c r="J712" s="16"/>
    </row>
    <row r="713" spans="1:10" s="2" customFormat="1" ht="12.75" x14ac:dyDescent="0.2">
      <c r="A713" s="42" t="s">
        <v>96</v>
      </c>
      <c r="B713" s="64" t="s">
        <v>215</v>
      </c>
      <c r="C713" s="165" t="s">
        <v>65</v>
      </c>
      <c r="D713" s="50">
        <f>6018334+10000</f>
        <v>6028334</v>
      </c>
      <c r="E713" s="50">
        <v>6018334</v>
      </c>
      <c r="F713" s="50">
        <v>6018334</v>
      </c>
      <c r="G713" s="16"/>
      <c r="H713" s="16"/>
      <c r="I713" s="16"/>
      <c r="J713" s="16"/>
    </row>
    <row r="714" spans="1:10" s="2" customFormat="1" ht="12.75" x14ac:dyDescent="0.2">
      <c r="A714" s="42" t="s">
        <v>92</v>
      </c>
      <c r="B714" s="64" t="s">
        <v>215</v>
      </c>
      <c r="C714" s="165" t="s">
        <v>222</v>
      </c>
      <c r="D714" s="50">
        <v>10100286.73</v>
      </c>
      <c r="E714" s="50">
        <v>7168687.0899999999</v>
      </c>
      <c r="F714" s="50">
        <v>7168687.0899999999</v>
      </c>
      <c r="G714" s="16"/>
      <c r="H714" s="16"/>
      <c r="I714" s="16"/>
      <c r="J714" s="16"/>
    </row>
    <row r="715" spans="1:10" s="2" customFormat="1" ht="12.75" x14ac:dyDescent="0.2">
      <c r="A715" s="109" t="s">
        <v>169</v>
      </c>
      <c r="B715" s="64" t="s">
        <v>215</v>
      </c>
      <c r="C715" s="165" t="s">
        <v>191</v>
      </c>
      <c r="D715" s="50">
        <f>D716</f>
        <v>72130</v>
      </c>
      <c r="E715" s="50">
        <f>E716</f>
        <v>72406</v>
      </c>
      <c r="F715" s="50">
        <f>F716</f>
        <v>72406</v>
      </c>
      <c r="G715" s="16"/>
      <c r="H715" s="16"/>
      <c r="I715" s="16"/>
      <c r="J715" s="16"/>
    </row>
    <row r="716" spans="1:10" s="2" customFormat="1" ht="12.75" x14ac:dyDescent="0.2">
      <c r="A716" s="52" t="s">
        <v>159</v>
      </c>
      <c r="B716" s="64" t="s">
        <v>215</v>
      </c>
      <c r="C716" s="165" t="s">
        <v>223</v>
      </c>
      <c r="D716" s="50">
        <f>72406-276</f>
        <v>72130</v>
      </c>
      <c r="E716" s="50">
        <v>72406</v>
      </c>
      <c r="F716" s="50">
        <v>72406</v>
      </c>
      <c r="G716" s="16"/>
      <c r="H716" s="16"/>
      <c r="I716" s="16"/>
      <c r="J716" s="16"/>
    </row>
    <row r="717" spans="1:10" s="5" customFormat="1" ht="46.5" customHeight="1" x14ac:dyDescent="0.2">
      <c r="A717" s="56" t="s">
        <v>148</v>
      </c>
      <c r="B717" s="57" t="s">
        <v>149</v>
      </c>
      <c r="C717" s="105"/>
      <c r="D717" s="59">
        <f>D719+D721</f>
        <v>85000</v>
      </c>
      <c r="E717" s="59">
        <f t="shared" ref="E717:F717" si="262">E719+E721</f>
        <v>85000</v>
      </c>
      <c r="F717" s="59">
        <f t="shared" si="262"/>
        <v>85000</v>
      </c>
      <c r="G717" s="15"/>
      <c r="H717" s="15"/>
      <c r="I717" s="15"/>
      <c r="J717" s="15"/>
    </row>
    <row r="718" spans="1:10" s="5" customFormat="1" ht="31.5" customHeight="1" x14ac:dyDescent="0.2">
      <c r="A718" s="42" t="s">
        <v>286</v>
      </c>
      <c r="B718" s="64" t="s">
        <v>287</v>
      </c>
      <c r="C718" s="51"/>
      <c r="D718" s="132">
        <f t="shared" ref="D718:F719" si="263">D719</f>
        <v>75000</v>
      </c>
      <c r="E718" s="132">
        <f t="shared" si="263"/>
        <v>75000</v>
      </c>
      <c r="F718" s="132">
        <f t="shared" si="263"/>
        <v>75000</v>
      </c>
      <c r="G718" s="15"/>
      <c r="H718" s="15"/>
      <c r="I718" s="15"/>
      <c r="J718" s="15"/>
    </row>
    <row r="719" spans="1:10" s="5" customFormat="1" ht="17.25" customHeight="1" x14ac:dyDescent="0.2">
      <c r="A719" s="109" t="s">
        <v>169</v>
      </c>
      <c r="B719" s="64" t="s">
        <v>287</v>
      </c>
      <c r="C719" s="165" t="s">
        <v>191</v>
      </c>
      <c r="D719" s="50">
        <f t="shared" si="263"/>
        <v>75000</v>
      </c>
      <c r="E719" s="50">
        <f t="shared" si="263"/>
        <v>75000</v>
      </c>
      <c r="F719" s="50">
        <f t="shared" si="263"/>
        <v>75000</v>
      </c>
      <c r="G719" s="15"/>
      <c r="H719" s="15"/>
      <c r="I719" s="15"/>
      <c r="J719" s="15"/>
    </row>
    <row r="720" spans="1:10" s="5" customFormat="1" ht="20.25" customHeight="1" x14ac:dyDescent="0.2">
      <c r="A720" s="52" t="s">
        <v>159</v>
      </c>
      <c r="B720" s="64" t="s">
        <v>287</v>
      </c>
      <c r="C720" s="165" t="s">
        <v>223</v>
      </c>
      <c r="D720" s="50">
        <v>75000</v>
      </c>
      <c r="E720" s="50">
        <v>75000</v>
      </c>
      <c r="F720" s="132">
        <v>75000</v>
      </c>
      <c r="G720" s="15"/>
      <c r="H720" s="15"/>
      <c r="I720" s="15"/>
      <c r="J720" s="15"/>
    </row>
    <row r="721" spans="1:10" s="5" customFormat="1" ht="127.5" x14ac:dyDescent="0.2">
      <c r="A721" s="71" t="s">
        <v>351</v>
      </c>
      <c r="B721" s="61" t="s">
        <v>298</v>
      </c>
      <c r="C721" s="165"/>
      <c r="D721" s="50">
        <f t="shared" ref="D721:F722" si="264">D722</f>
        <v>10000</v>
      </c>
      <c r="E721" s="45">
        <f t="shared" si="264"/>
        <v>10000</v>
      </c>
      <c r="F721" s="45">
        <f t="shared" si="264"/>
        <v>10000</v>
      </c>
      <c r="G721" s="15"/>
      <c r="H721" s="15"/>
      <c r="I721" s="15"/>
      <c r="J721" s="15"/>
    </row>
    <row r="722" spans="1:10" s="5" customFormat="1" ht="12.75" x14ac:dyDescent="0.2">
      <c r="A722" s="71" t="s">
        <v>84</v>
      </c>
      <c r="B722" s="61" t="s">
        <v>298</v>
      </c>
      <c r="C722" s="165" t="s">
        <v>196</v>
      </c>
      <c r="D722" s="50">
        <f t="shared" si="264"/>
        <v>10000</v>
      </c>
      <c r="E722" s="45">
        <f t="shared" si="264"/>
        <v>10000</v>
      </c>
      <c r="F722" s="45">
        <f t="shared" si="264"/>
        <v>10000</v>
      </c>
      <c r="G722" s="15"/>
      <c r="H722" s="15"/>
      <c r="I722" s="15"/>
      <c r="J722" s="15"/>
    </row>
    <row r="723" spans="1:10" s="5" customFormat="1" ht="25.5" x14ac:dyDescent="0.2">
      <c r="A723" s="52" t="s">
        <v>297</v>
      </c>
      <c r="B723" s="61" t="s">
        <v>298</v>
      </c>
      <c r="C723" s="165" t="s">
        <v>299</v>
      </c>
      <c r="D723" s="50">
        <v>10000</v>
      </c>
      <c r="E723" s="45">
        <v>10000</v>
      </c>
      <c r="F723" s="132">
        <v>10000</v>
      </c>
      <c r="G723" s="15"/>
      <c r="H723" s="15"/>
      <c r="I723" s="15"/>
      <c r="J723" s="15"/>
    </row>
    <row r="724" spans="1:10" s="5" customFormat="1" ht="46.5" customHeight="1" x14ac:dyDescent="0.2">
      <c r="A724" s="56" t="s">
        <v>288</v>
      </c>
      <c r="B724" s="57" t="s">
        <v>214</v>
      </c>
      <c r="C724" s="105"/>
      <c r="D724" s="59">
        <f>D725</f>
        <v>7157917.8599999994</v>
      </c>
      <c r="E724" s="59">
        <f>E725</f>
        <v>7157917.8599999994</v>
      </c>
      <c r="F724" s="59">
        <f>F725</f>
        <v>7228135.0300000003</v>
      </c>
      <c r="G724" s="15"/>
      <c r="H724" s="15"/>
      <c r="I724" s="15"/>
      <c r="J724" s="15"/>
    </row>
    <row r="725" spans="1:10" s="2" customFormat="1" ht="38.25" x14ac:dyDescent="0.2">
      <c r="A725" s="52" t="s">
        <v>289</v>
      </c>
      <c r="B725" s="40" t="s">
        <v>290</v>
      </c>
      <c r="C725" s="51"/>
      <c r="D725" s="50">
        <f>D726</f>
        <v>7157917.8599999994</v>
      </c>
      <c r="E725" s="50">
        <f t="shared" ref="E725:F727" si="265">E726</f>
        <v>7157917.8599999994</v>
      </c>
      <c r="F725" s="50">
        <f t="shared" si="265"/>
        <v>7228135.0300000003</v>
      </c>
      <c r="G725" s="16"/>
      <c r="H725" s="16"/>
      <c r="I725" s="16"/>
      <c r="J725" s="16"/>
    </row>
    <row r="726" spans="1:10" s="2" customFormat="1" ht="25.5" x14ac:dyDescent="0.2">
      <c r="A726" s="42" t="s">
        <v>60</v>
      </c>
      <c r="B726" s="40" t="s">
        <v>291</v>
      </c>
      <c r="C726" s="44"/>
      <c r="D726" s="45">
        <f>D727</f>
        <v>7157917.8599999994</v>
      </c>
      <c r="E726" s="45">
        <f t="shared" si="265"/>
        <v>7157917.8599999994</v>
      </c>
      <c r="F726" s="45">
        <f t="shared" si="265"/>
        <v>7228135.0300000003</v>
      </c>
      <c r="G726" s="16"/>
      <c r="H726" s="16"/>
      <c r="I726" s="16"/>
      <c r="J726" s="16"/>
    </row>
    <row r="727" spans="1:10" s="2" customFormat="1" ht="51" x14ac:dyDescent="0.2">
      <c r="A727" s="42" t="s">
        <v>82</v>
      </c>
      <c r="B727" s="40" t="s">
        <v>291</v>
      </c>
      <c r="C727" s="44" t="s">
        <v>99</v>
      </c>
      <c r="D727" s="45">
        <f>D728</f>
        <v>7157917.8599999994</v>
      </c>
      <c r="E727" s="45">
        <f t="shared" si="265"/>
        <v>7157917.8599999994</v>
      </c>
      <c r="F727" s="45">
        <f t="shared" si="265"/>
        <v>7228135.0300000003</v>
      </c>
      <c r="G727" s="16"/>
      <c r="H727" s="16"/>
      <c r="I727" s="16"/>
      <c r="J727" s="16"/>
    </row>
    <row r="728" spans="1:10" s="2" customFormat="1" ht="12.75" x14ac:dyDescent="0.2">
      <c r="A728" s="84" t="s">
        <v>74</v>
      </c>
      <c r="B728" s="40" t="s">
        <v>291</v>
      </c>
      <c r="C728" s="44" t="s">
        <v>100</v>
      </c>
      <c r="D728" s="45">
        <f>D729+D730+D731</f>
        <v>7157917.8599999994</v>
      </c>
      <c r="E728" s="45">
        <f>E729+E730+E731</f>
        <v>7157917.8599999994</v>
      </c>
      <c r="F728" s="45">
        <f>F729+F730+F731</f>
        <v>7228135.0300000003</v>
      </c>
      <c r="G728" s="16"/>
      <c r="H728" s="16"/>
      <c r="I728" s="16"/>
      <c r="J728" s="16"/>
    </row>
    <row r="729" spans="1:10" s="2" customFormat="1" ht="20.25" customHeight="1" x14ac:dyDescent="0.2">
      <c r="A729" s="52" t="s">
        <v>216</v>
      </c>
      <c r="B729" s="40" t="s">
        <v>291</v>
      </c>
      <c r="C729" s="51" t="s">
        <v>217</v>
      </c>
      <c r="D729" s="45">
        <v>5393024.4699999997</v>
      </c>
      <c r="E729" s="45">
        <v>5393024.4699999997</v>
      </c>
      <c r="F729" s="45">
        <v>5446954.71</v>
      </c>
      <c r="G729" s="16"/>
      <c r="H729" s="16"/>
      <c r="I729" s="16"/>
      <c r="J729" s="16"/>
    </row>
    <row r="730" spans="1:10" s="2" customFormat="1" ht="25.5" x14ac:dyDescent="0.2">
      <c r="A730" s="52" t="s">
        <v>218</v>
      </c>
      <c r="B730" s="40" t="s">
        <v>291</v>
      </c>
      <c r="C730" s="51" t="s">
        <v>101</v>
      </c>
      <c r="D730" s="45">
        <v>136200</v>
      </c>
      <c r="E730" s="45">
        <v>136200</v>
      </c>
      <c r="F730" s="45">
        <v>136200</v>
      </c>
      <c r="G730" s="16"/>
      <c r="H730" s="16"/>
      <c r="I730" s="16"/>
      <c r="J730" s="16"/>
    </row>
    <row r="731" spans="1:10" s="2" customFormat="1" ht="59.25" customHeight="1" x14ac:dyDescent="0.2">
      <c r="A731" s="42" t="s">
        <v>219</v>
      </c>
      <c r="B731" s="40" t="s">
        <v>291</v>
      </c>
      <c r="C731" s="147" t="s">
        <v>220</v>
      </c>
      <c r="D731" s="45">
        <v>1628693.39</v>
      </c>
      <c r="E731" s="45">
        <v>1628693.39</v>
      </c>
      <c r="F731" s="45">
        <v>1644980.32</v>
      </c>
      <c r="G731" s="16"/>
      <c r="H731" s="16"/>
      <c r="I731" s="16"/>
      <c r="J731" s="16"/>
    </row>
    <row r="732" spans="1:10" s="2" customFormat="1" ht="45" customHeight="1" x14ac:dyDescent="0.2">
      <c r="A732" s="149" t="s">
        <v>367</v>
      </c>
      <c r="B732" s="95" t="s">
        <v>368</v>
      </c>
      <c r="C732" s="166"/>
      <c r="D732" s="50">
        <f>D740+D733+D749</f>
        <v>8888888.8899999987</v>
      </c>
      <c r="E732" s="50">
        <f t="shared" ref="E732:F732" si="266">E740+E733+E749</f>
        <v>0</v>
      </c>
      <c r="F732" s="50">
        <f t="shared" si="266"/>
        <v>0</v>
      </c>
      <c r="G732" s="16"/>
      <c r="H732" s="16"/>
      <c r="I732" s="16"/>
      <c r="J732" s="16"/>
    </row>
    <row r="733" spans="1:10" s="16" customFormat="1" ht="30" customHeight="1" x14ac:dyDescent="0.2">
      <c r="A733" s="52" t="s">
        <v>471</v>
      </c>
      <c r="B733" s="40" t="s">
        <v>470</v>
      </c>
      <c r="C733" s="51"/>
      <c r="D733" s="50">
        <f>D734+D737</f>
        <v>444444.44</v>
      </c>
      <c r="E733" s="50">
        <f t="shared" ref="E733:F733" si="267">E734+E737</f>
        <v>0</v>
      </c>
      <c r="F733" s="50">
        <f t="shared" si="267"/>
        <v>0</v>
      </c>
    </row>
    <row r="734" spans="1:10" s="16" customFormat="1" ht="24" customHeight="1" x14ac:dyDescent="0.2">
      <c r="A734" s="52" t="s">
        <v>80</v>
      </c>
      <c r="B734" s="40" t="s">
        <v>470</v>
      </c>
      <c r="C734" s="51">
        <v>200</v>
      </c>
      <c r="D734" s="50">
        <f t="shared" ref="D734" si="268">D735</f>
        <v>214099.75</v>
      </c>
      <c r="E734" s="50">
        <f t="shared" ref="E734" si="269">E735</f>
        <v>0</v>
      </c>
      <c r="F734" s="50">
        <f t="shared" ref="F734" si="270">F735</f>
        <v>0</v>
      </c>
    </row>
    <row r="735" spans="1:10" s="16" customFormat="1" ht="24.75" customHeight="1" x14ac:dyDescent="0.2">
      <c r="A735" s="52" t="s">
        <v>221</v>
      </c>
      <c r="B735" s="40" t="s">
        <v>470</v>
      </c>
      <c r="C735" s="51">
        <v>240</v>
      </c>
      <c r="D735" s="50">
        <f>D736</f>
        <v>214099.75</v>
      </c>
      <c r="E735" s="50">
        <f t="shared" ref="E735:F735" si="271">E736</f>
        <v>0</v>
      </c>
      <c r="F735" s="50">
        <f t="shared" si="271"/>
        <v>0</v>
      </c>
    </row>
    <row r="736" spans="1:10" s="16" customFormat="1" ht="21.75" customHeight="1" x14ac:dyDescent="0.2">
      <c r="A736" s="52" t="s">
        <v>96</v>
      </c>
      <c r="B736" s="40" t="s">
        <v>470</v>
      </c>
      <c r="C736" s="51">
        <v>244</v>
      </c>
      <c r="D736" s="50">
        <v>214099.75</v>
      </c>
      <c r="E736" s="50"/>
      <c r="F736" s="50"/>
    </row>
    <row r="737" spans="1:10" s="16" customFormat="1" ht="32.25" customHeight="1" x14ac:dyDescent="0.2">
      <c r="A737" s="52" t="s">
        <v>81</v>
      </c>
      <c r="B737" s="40" t="s">
        <v>470</v>
      </c>
      <c r="C737" s="51">
        <v>600</v>
      </c>
      <c r="D737" s="50">
        <f>D738</f>
        <v>230344.69</v>
      </c>
      <c r="E737" s="50">
        <f t="shared" ref="E737" si="272">E738</f>
        <v>0</v>
      </c>
      <c r="F737" s="50">
        <f t="shared" ref="F737" si="273">F738</f>
        <v>0</v>
      </c>
    </row>
    <row r="738" spans="1:10" s="16" customFormat="1" ht="21.75" customHeight="1" x14ac:dyDescent="0.2">
      <c r="A738" s="52" t="s">
        <v>49</v>
      </c>
      <c r="B738" s="40" t="s">
        <v>470</v>
      </c>
      <c r="C738" s="51">
        <v>610</v>
      </c>
      <c r="D738" s="50">
        <f>D739</f>
        <v>230344.69</v>
      </c>
      <c r="E738" s="50">
        <f t="shared" ref="E738:F738" si="274">E739</f>
        <v>0</v>
      </c>
      <c r="F738" s="50">
        <f t="shared" si="274"/>
        <v>0</v>
      </c>
    </row>
    <row r="739" spans="1:10" s="16" customFormat="1" ht="21.75" customHeight="1" x14ac:dyDescent="0.2">
      <c r="A739" s="52" t="s">
        <v>2</v>
      </c>
      <c r="B739" s="40" t="s">
        <v>470</v>
      </c>
      <c r="C739" s="51">
        <v>612</v>
      </c>
      <c r="D739" s="50">
        <f>15500+180844.69+20000+14000</f>
        <v>230344.69</v>
      </c>
      <c r="E739" s="50"/>
      <c r="F739" s="50"/>
    </row>
    <row r="740" spans="1:10" s="2" customFormat="1" ht="29.25" customHeight="1" x14ac:dyDescent="0.2">
      <c r="A740" s="103" t="s">
        <v>367</v>
      </c>
      <c r="B740" s="40" t="s">
        <v>459</v>
      </c>
      <c r="C740" s="51"/>
      <c r="D740" s="50">
        <f>D747+D741+D744</f>
        <v>8000000</v>
      </c>
      <c r="E740" s="50">
        <f t="shared" ref="E740:F740" si="275">E747+E741</f>
        <v>0</v>
      </c>
      <c r="F740" s="50">
        <f t="shared" si="275"/>
        <v>0</v>
      </c>
      <c r="G740" s="16"/>
      <c r="H740" s="16"/>
      <c r="I740" s="16"/>
      <c r="J740" s="16"/>
    </row>
    <row r="741" spans="1:10" s="2" customFormat="1" ht="29.25" customHeight="1" x14ac:dyDescent="0.2">
      <c r="A741" s="52" t="s">
        <v>80</v>
      </c>
      <c r="B741" s="40" t="s">
        <v>459</v>
      </c>
      <c r="C741" s="51">
        <v>200</v>
      </c>
      <c r="D741" s="50">
        <f>D742</f>
        <v>3853795.5</v>
      </c>
      <c r="E741" s="50">
        <f t="shared" ref="E741" si="276">E742</f>
        <v>0</v>
      </c>
      <c r="F741" s="50">
        <f t="shared" ref="F741" si="277">F742</f>
        <v>0</v>
      </c>
      <c r="G741" s="16"/>
      <c r="H741" s="16"/>
      <c r="I741" s="16"/>
      <c r="J741" s="16"/>
    </row>
    <row r="742" spans="1:10" s="2" customFormat="1" ht="29.25" customHeight="1" x14ac:dyDescent="0.2">
      <c r="A742" s="52" t="s">
        <v>221</v>
      </c>
      <c r="B742" s="40" t="s">
        <v>459</v>
      </c>
      <c r="C742" s="51">
        <v>240</v>
      </c>
      <c r="D742" s="50">
        <f>D743</f>
        <v>3853795.5</v>
      </c>
      <c r="E742" s="50">
        <f t="shared" ref="E742:F742" si="278">E743</f>
        <v>0</v>
      </c>
      <c r="F742" s="50">
        <f t="shared" si="278"/>
        <v>0</v>
      </c>
      <c r="G742" s="16"/>
      <c r="H742" s="16"/>
      <c r="I742" s="16"/>
      <c r="J742" s="16"/>
    </row>
    <row r="743" spans="1:10" s="2" customFormat="1" ht="29.25" customHeight="1" x14ac:dyDescent="0.2">
      <c r="A743" s="52" t="s">
        <v>96</v>
      </c>
      <c r="B743" s="40" t="s">
        <v>459</v>
      </c>
      <c r="C743" s="51">
        <v>244</v>
      </c>
      <c r="D743" s="50">
        <v>3853795.5</v>
      </c>
      <c r="E743" s="50"/>
      <c r="F743" s="50"/>
      <c r="G743" s="16"/>
      <c r="H743" s="16"/>
      <c r="I743" s="16"/>
      <c r="J743" s="16"/>
    </row>
    <row r="744" spans="1:10" s="2" customFormat="1" ht="29.25" customHeight="1" x14ac:dyDescent="0.2">
      <c r="A744" s="52" t="s">
        <v>81</v>
      </c>
      <c r="B744" s="40" t="s">
        <v>459</v>
      </c>
      <c r="C744" s="51">
        <v>600</v>
      </c>
      <c r="D744" s="50">
        <f>D745</f>
        <v>4146204.5</v>
      </c>
      <c r="E744" s="50">
        <f t="shared" ref="E744" si="279">E745</f>
        <v>0</v>
      </c>
      <c r="F744" s="50">
        <f t="shared" ref="F744" si="280">F745</f>
        <v>0</v>
      </c>
      <c r="G744" s="16"/>
      <c r="H744" s="16"/>
      <c r="I744" s="16"/>
      <c r="J744" s="16"/>
    </row>
    <row r="745" spans="1:10" s="2" customFormat="1" ht="29.25" customHeight="1" x14ac:dyDescent="0.2">
      <c r="A745" s="52" t="s">
        <v>49</v>
      </c>
      <c r="B745" s="40" t="s">
        <v>459</v>
      </c>
      <c r="C745" s="51">
        <v>610</v>
      </c>
      <c r="D745" s="50">
        <f>D746</f>
        <v>4146204.5</v>
      </c>
      <c r="E745" s="50">
        <f t="shared" ref="E745:F745" si="281">E746</f>
        <v>0</v>
      </c>
      <c r="F745" s="50">
        <f t="shared" si="281"/>
        <v>0</v>
      </c>
      <c r="G745" s="16"/>
      <c r="H745" s="16"/>
      <c r="I745" s="16"/>
      <c r="J745" s="16"/>
    </row>
    <row r="746" spans="1:10" s="2" customFormat="1" ht="29.25" customHeight="1" x14ac:dyDescent="0.2">
      <c r="A746" s="52" t="s">
        <v>2</v>
      </c>
      <c r="B746" s="40" t="s">
        <v>459</v>
      </c>
      <c r="C746" s="51">
        <v>612</v>
      </c>
      <c r="D746" s="50">
        <f>279000+3255204.5+360000+252000</f>
        <v>4146204.5</v>
      </c>
      <c r="E746" s="50"/>
      <c r="F746" s="50"/>
      <c r="G746" s="16"/>
      <c r="H746" s="16"/>
      <c r="I746" s="16"/>
      <c r="J746" s="16"/>
    </row>
    <row r="747" spans="1:10" s="2" customFormat="1" ht="19.5" customHeight="1" x14ac:dyDescent="0.2">
      <c r="A747" s="52" t="s">
        <v>83</v>
      </c>
      <c r="B747" s="40" t="s">
        <v>459</v>
      </c>
      <c r="C747" s="51">
        <v>800</v>
      </c>
      <c r="D747" s="50">
        <f>D748</f>
        <v>0</v>
      </c>
      <c r="E747" s="50">
        <f t="shared" ref="E747:F747" si="282">E748</f>
        <v>0</v>
      </c>
      <c r="F747" s="50">
        <f t="shared" si="282"/>
        <v>0</v>
      </c>
      <c r="G747" s="16"/>
      <c r="H747" s="16"/>
      <c r="I747" s="16"/>
      <c r="J747" s="16"/>
    </row>
    <row r="748" spans="1:10" s="2" customFormat="1" ht="19.5" customHeight="1" x14ac:dyDescent="0.2">
      <c r="A748" s="52" t="s">
        <v>172</v>
      </c>
      <c r="B748" s="40" t="s">
        <v>459</v>
      </c>
      <c r="C748" s="51">
        <v>870</v>
      </c>
      <c r="D748" s="50">
        <f>8000000-3853795.5-279000-3255204.5-612000</f>
        <v>0</v>
      </c>
      <c r="E748" s="45"/>
      <c r="F748" s="45"/>
      <c r="G748" s="16"/>
      <c r="H748" s="16"/>
      <c r="I748" s="16"/>
      <c r="J748" s="16"/>
    </row>
    <row r="749" spans="1:10" s="2" customFormat="1" ht="33" customHeight="1" x14ac:dyDescent="0.2">
      <c r="A749" s="52" t="s">
        <v>473</v>
      </c>
      <c r="B749" s="40" t="s">
        <v>472</v>
      </c>
      <c r="C749" s="51"/>
      <c r="D749" s="50">
        <f>D750+D753</f>
        <v>444444.45</v>
      </c>
      <c r="E749" s="50">
        <f t="shared" ref="E749:F749" si="283">E750+E753</f>
        <v>0</v>
      </c>
      <c r="F749" s="50">
        <f t="shared" si="283"/>
        <v>0</v>
      </c>
      <c r="G749" s="16"/>
      <c r="H749" s="16"/>
      <c r="I749" s="16"/>
      <c r="J749" s="16"/>
    </row>
    <row r="750" spans="1:10" s="2" customFormat="1" ht="24" customHeight="1" x14ac:dyDescent="0.2">
      <c r="A750" s="52" t="s">
        <v>80</v>
      </c>
      <c r="B750" s="40" t="s">
        <v>472</v>
      </c>
      <c r="C750" s="51">
        <v>200</v>
      </c>
      <c r="D750" s="50">
        <f t="shared" ref="D750" si="284">D751</f>
        <v>214099.75</v>
      </c>
      <c r="E750" s="50">
        <f t="shared" ref="E750" si="285">E751</f>
        <v>0</v>
      </c>
      <c r="F750" s="50">
        <f t="shared" ref="F750" si="286">F751</f>
        <v>0</v>
      </c>
      <c r="G750" s="16"/>
      <c r="H750" s="16"/>
      <c r="I750" s="16"/>
      <c r="J750" s="16"/>
    </row>
    <row r="751" spans="1:10" s="2" customFormat="1" ht="27.75" customHeight="1" x14ac:dyDescent="0.2">
      <c r="A751" s="52" t="s">
        <v>221</v>
      </c>
      <c r="B751" s="40" t="s">
        <v>472</v>
      </c>
      <c r="C751" s="51">
        <v>240</v>
      </c>
      <c r="D751" s="50">
        <f>D752</f>
        <v>214099.75</v>
      </c>
      <c r="E751" s="50">
        <f t="shared" ref="E751:F751" si="287">E752</f>
        <v>0</v>
      </c>
      <c r="F751" s="50">
        <f t="shared" si="287"/>
        <v>0</v>
      </c>
      <c r="G751" s="16"/>
      <c r="H751" s="16"/>
      <c r="I751" s="16"/>
      <c r="J751" s="16"/>
    </row>
    <row r="752" spans="1:10" s="2" customFormat="1" ht="19.5" customHeight="1" x14ac:dyDescent="0.2">
      <c r="A752" s="52" t="s">
        <v>96</v>
      </c>
      <c r="B752" s="40" t="s">
        <v>472</v>
      </c>
      <c r="C752" s="51">
        <v>244</v>
      </c>
      <c r="D752" s="50">
        <v>214099.75</v>
      </c>
      <c r="E752" s="45"/>
      <c r="F752" s="45"/>
      <c r="G752" s="16"/>
      <c r="H752" s="16"/>
      <c r="I752" s="16"/>
      <c r="J752" s="16"/>
    </row>
    <row r="753" spans="1:10" s="2" customFormat="1" ht="30" customHeight="1" x14ac:dyDescent="0.2">
      <c r="A753" s="52" t="s">
        <v>81</v>
      </c>
      <c r="B753" s="40" t="s">
        <v>472</v>
      </c>
      <c r="C753" s="51">
        <v>600</v>
      </c>
      <c r="D753" s="50">
        <f>D754</f>
        <v>230344.7</v>
      </c>
      <c r="E753" s="50">
        <f t="shared" ref="E753" si="288">E754</f>
        <v>0</v>
      </c>
      <c r="F753" s="50">
        <f t="shared" ref="F753" si="289">F754</f>
        <v>0</v>
      </c>
      <c r="G753" s="16"/>
      <c r="H753" s="16"/>
      <c r="I753" s="16"/>
      <c r="J753" s="16"/>
    </row>
    <row r="754" spans="1:10" s="2" customFormat="1" ht="19.5" customHeight="1" x14ac:dyDescent="0.2">
      <c r="A754" s="52" t="s">
        <v>49</v>
      </c>
      <c r="B754" s="40" t="s">
        <v>472</v>
      </c>
      <c r="C754" s="51">
        <v>610</v>
      </c>
      <c r="D754" s="50">
        <f>D755</f>
        <v>230344.7</v>
      </c>
      <c r="E754" s="50">
        <f t="shared" ref="E754:F754" si="290">E755</f>
        <v>0</v>
      </c>
      <c r="F754" s="50">
        <f t="shared" si="290"/>
        <v>0</v>
      </c>
      <c r="G754" s="16"/>
      <c r="H754" s="16"/>
      <c r="I754" s="16"/>
      <c r="J754" s="16"/>
    </row>
    <row r="755" spans="1:10" s="2" customFormat="1" ht="19.5" customHeight="1" x14ac:dyDescent="0.2">
      <c r="A755" s="52" t="s">
        <v>2</v>
      </c>
      <c r="B755" s="40" t="s">
        <v>472</v>
      </c>
      <c r="C755" s="51">
        <v>612</v>
      </c>
      <c r="D755" s="50">
        <f>15500+180844.7+20000+14000</f>
        <v>230344.7</v>
      </c>
      <c r="E755" s="45"/>
      <c r="F755" s="45"/>
      <c r="G755" s="16"/>
      <c r="H755" s="16"/>
      <c r="I755" s="16"/>
      <c r="J755" s="16"/>
    </row>
    <row r="756" spans="1:10" s="3" customFormat="1" ht="12.75" x14ac:dyDescent="0.2">
      <c r="A756" s="167" t="s">
        <v>292</v>
      </c>
      <c r="B756" s="168"/>
      <c r="C756" s="168"/>
      <c r="D756" s="169"/>
      <c r="E756" s="45">
        <f>18548424.79-2289983.02-10000000</f>
        <v>6258441.7699999996</v>
      </c>
      <c r="F756" s="45">
        <f>39186861.99-15180.42</f>
        <v>39171681.57</v>
      </c>
      <c r="G756" s="13"/>
      <c r="H756" s="13"/>
      <c r="I756" s="13"/>
      <c r="J756" s="13"/>
    </row>
    <row r="757" spans="1:10" s="3" customFormat="1" ht="12.75" x14ac:dyDescent="0.2">
      <c r="A757" s="13"/>
      <c r="B757" s="46"/>
      <c r="C757" s="46"/>
      <c r="D757" s="47"/>
      <c r="E757" s="47"/>
      <c r="F757" s="47"/>
      <c r="G757" s="13"/>
      <c r="H757" s="13"/>
      <c r="I757" s="13"/>
      <c r="J757" s="13"/>
    </row>
    <row r="758" spans="1:10" s="3" customFormat="1" ht="12.75" x14ac:dyDescent="0.2">
      <c r="A758" s="54" t="s">
        <v>125</v>
      </c>
      <c r="B758" s="95"/>
      <c r="C758" s="95"/>
      <c r="D758" s="55">
        <f>D18+D490+D756</f>
        <v>2078270240.6799998</v>
      </c>
      <c r="E758" s="55">
        <f>E18+E490+E756</f>
        <v>1802482348.39238</v>
      </c>
      <c r="F758" s="55">
        <f>F18+F490+F756</f>
        <v>1779090995.3197801</v>
      </c>
      <c r="G758" s="13"/>
      <c r="H758" s="13"/>
      <c r="I758" s="13"/>
      <c r="J758" s="13"/>
    </row>
    <row r="759" spans="1:10" s="13" customFormat="1" ht="12.75" x14ac:dyDescent="0.2">
      <c r="B759" s="46"/>
      <c r="C759" s="46"/>
      <c r="D759" s="47"/>
      <c r="E759" s="47"/>
      <c r="F759" s="47"/>
    </row>
    <row r="760" spans="1:10" s="14" customFormat="1" x14ac:dyDescent="0.2">
      <c r="B760" s="48"/>
      <c r="C760" s="48"/>
      <c r="D760" s="49"/>
      <c r="E760" s="49"/>
      <c r="F760" s="49"/>
    </row>
    <row r="761" spans="1:10" s="3" customFormat="1" ht="12.75" x14ac:dyDescent="0.2">
      <c r="A761" s="11"/>
      <c r="B761" s="19"/>
      <c r="C761" s="19"/>
      <c r="D761" s="20"/>
      <c r="E761" s="20"/>
      <c r="F761" s="20"/>
      <c r="G761" s="13"/>
      <c r="H761" s="13"/>
      <c r="I761" s="13"/>
      <c r="J761" s="13"/>
    </row>
    <row r="762" spans="1:10" s="3" customFormat="1" ht="12.75" x14ac:dyDescent="0.2">
      <c r="A762" s="11"/>
      <c r="B762" s="19"/>
      <c r="C762" s="19"/>
      <c r="D762" s="20"/>
      <c r="E762" s="20"/>
      <c r="F762" s="20"/>
      <c r="G762" s="13"/>
      <c r="H762" s="13"/>
      <c r="I762" s="13"/>
      <c r="J762" s="13"/>
    </row>
    <row r="764" spans="1:10" s="3" customFormat="1" ht="12.75" x14ac:dyDescent="0.2">
      <c r="A764" s="11"/>
      <c r="B764" s="19"/>
      <c r="C764" s="19"/>
      <c r="D764" s="20"/>
      <c r="E764" s="20"/>
      <c r="F764" s="20"/>
      <c r="G764" s="13"/>
      <c r="H764" s="13"/>
      <c r="I764" s="13"/>
      <c r="J764" s="13"/>
    </row>
    <row r="765" spans="1:10" s="3" customFormat="1" ht="12.75" x14ac:dyDescent="0.2">
      <c r="A765" s="11"/>
      <c r="B765" s="19"/>
      <c r="C765" s="19"/>
      <c r="D765" s="20"/>
      <c r="E765" s="20"/>
      <c r="F765" s="20"/>
      <c r="G765" s="13"/>
      <c r="H765" s="13"/>
      <c r="I765" s="13"/>
      <c r="J765" s="13"/>
    </row>
    <row r="766" spans="1:10" s="3" customFormat="1" ht="12.75" x14ac:dyDescent="0.2">
      <c r="A766" s="11"/>
      <c r="B766" s="19"/>
      <c r="C766" s="19"/>
      <c r="D766" s="20"/>
      <c r="E766" s="20"/>
      <c r="F766" s="20"/>
      <c r="G766" s="13"/>
      <c r="H766" s="13"/>
      <c r="I766" s="13"/>
      <c r="J766" s="13"/>
    </row>
  </sheetData>
  <customSheetViews>
    <customSheetView guid="{30E81E54-DD45-4653-9DCD-548F6723F554}" scale="80" showPageBreaks="1" fitToPage="1" printArea="1" hiddenRows="1" view="pageBreakPreview">
      <selection activeCell="D6" sqref="D6"/>
      <pageMargins left="0.98425196850393704" right="0.78740157480314965" top="0.78740157480314965" bottom="0.78740157480314965" header="0.11811023622047245" footer="0.11811023622047245"/>
      <pageSetup paperSize="9" scale="60" fitToHeight="0" orientation="portrait" r:id="rId1"/>
      <headerFooter alignWithMargins="0"/>
    </customSheetView>
    <customSheetView guid="{D9B90A86-BE39-4FED-8226-084809D277F3}" scale="80" showPageBreaks="1" fitToPage="1" printArea="1" hiddenRows="1" view="pageBreakPreview" topLeftCell="A481">
      <selection activeCell="D496" sqref="D496"/>
      <pageMargins left="0.98425196850393704" right="0.78740157480314965" top="0.78740157480314965" bottom="0.78740157480314965" header="0.11811023622047245" footer="0.11811023622047245"/>
      <pageSetup paperSize="9" scale="61" fitToHeight="0" orientation="portrait" r:id="rId2"/>
      <headerFooter alignWithMargins="0"/>
    </customSheetView>
    <customSheetView guid="{7545950A-6E5E-45AB-942B-6C4201A60E54}" scale="80" showPageBreaks="1" fitToPage="1" printArea="1" hiddenRows="1" view="pageBreakPreview" topLeftCell="A536">
      <selection activeCell="J544" sqref="J544"/>
      <pageMargins left="0.98425196850393704" right="0.78740157480314965" top="0.78740157480314965" bottom="0.78740157480314965" header="0.11811023622047245" footer="0.11811023622047245"/>
      <pageSetup paperSize="9" scale="61" fitToHeight="0" orientation="portrait" r:id="rId3"/>
      <headerFooter alignWithMargins="0"/>
    </customSheetView>
    <customSheetView guid="{621F9F50-6600-48C4-A94F-B2301D0254CC}" scale="80" showPageBreaks="1" fitToPage="1" printArea="1" view="pageBreakPreview" topLeftCell="A542">
      <selection activeCell="D545" sqref="D545"/>
      <pageMargins left="0.98425196850393704" right="0.78740157480314965" top="0.78740157480314965" bottom="0.78740157480314965" header="0.11811023622047245" footer="0.11811023622047245"/>
      <pageSetup paperSize="9" scale="61" fitToHeight="0" orientation="portrait" r:id="rId4"/>
      <headerFooter alignWithMargins="0"/>
    </customSheetView>
    <customSheetView guid="{547FB17C-1FA3-4D81-B22A-42218056849D}" scale="80" showPageBreaks="1" fitToPage="1" printArea="1" view="pageBreakPreview" topLeftCell="A55">
      <selection activeCell="F16" sqref="F16"/>
      <pageMargins left="0.78740157480314965" right="0.78740157480314965" top="0.78740157480314965" bottom="0.78740157480314965" header="0.11811023622047245" footer="0.11811023622047245"/>
      <pageSetup paperSize="9" scale="62" fitToHeight="0" orientation="portrait" r:id="rId5"/>
      <headerFooter alignWithMargins="0"/>
    </customSheetView>
    <customSheetView guid="{683BEDAB-5AF7-4F46-BC3A-F9D325B8EF01}" scale="80" showPageBreaks="1" fitToPage="1" view="pageBreakPreview">
      <selection activeCell="D19" sqref="D19"/>
      <pageMargins left="0.78740157480314965" right="0.78740157480314965" top="0.78740157480314965" bottom="0.78740157480314965" header="0.11811023622047245" footer="0.11811023622047245"/>
      <pageSetup paperSize="9" scale="62" fitToHeight="0" orientation="portrait" r:id="rId6"/>
      <headerFooter alignWithMargins="0"/>
    </customSheetView>
    <customSheetView guid="{9A752CC5-36AC-48BE-BF4B-1A38C4015906}" scale="90" showPageBreaks="1" fitToPage="1" printArea="1" hiddenRows="1" view="pageBreakPreview" topLeftCell="A541">
      <selection activeCell="H627" sqref="H627"/>
      <pageMargins left="0.78740157480314965" right="0.78740157480314965" top="0.78740157480314965" bottom="0.78740157480314965" header="0.11811023622047245" footer="0.11811023622047245"/>
      <pageSetup paperSize="9" scale="62" fitToHeight="0" orientation="portrait" r:id="rId7"/>
      <headerFooter alignWithMargins="0"/>
    </customSheetView>
  </customSheetViews>
  <mergeCells count="8">
    <mergeCell ref="A12:D12"/>
    <mergeCell ref="A13:F13"/>
    <mergeCell ref="A15:D15"/>
    <mergeCell ref="A16:A17"/>
    <mergeCell ref="B16:B17"/>
    <mergeCell ref="C16:C17"/>
    <mergeCell ref="D16:F16"/>
    <mergeCell ref="A14:F14"/>
  </mergeCells>
  <pageMargins left="0.98425196850393704" right="0.78740157480314965" top="0.78740157480314965" bottom="0.78740157480314965" header="0.11811023622047245" footer="0.11811023622047245"/>
  <pageSetup paperSize="9" scale="60" fitToHeight="0" orientation="portrait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 </vt:lpstr>
      <vt:lpstr>'программы '!Область_печати</vt:lpstr>
    </vt:vector>
  </TitlesOfParts>
  <Company>Оргтехника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Молчанова Елена Валерьевна</dc:creator>
  <cp:lastModifiedBy>Латышева Ольга Яковлевна</cp:lastModifiedBy>
  <cp:lastPrinted>2025-04-29T13:30:18Z</cp:lastPrinted>
  <dcterms:created xsi:type="dcterms:W3CDTF">2008-10-30T16:06:49Z</dcterms:created>
  <dcterms:modified xsi:type="dcterms:W3CDTF">2025-04-29T13:32:53Z</dcterms:modified>
</cp:coreProperties>
</file>